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0"/>
  <workbookPr/>
  <mc:AlternateContent xmlns:mc="http://schemas.openxmlformats.org/markup-compatibility/2006">
    <mc:Choice Requires="x15">
      <x15ac:absPath xmlns:x15ac="http://schemas.microsoft.com/office/spreadsheetml/2010/11/ac" url="/Users/miralles/Documents/GitHub/itinerancias/excel/"/>
    </mc:Choice>
  </mc:AlternateContent>
  <xr:revisionPtr revIDLastSave="0" documentId="13_ncr:1_{EE7239D3-8145-D649-85F5-EC772932CABB}" xr6:coauthVersionLast="47" xr6:coauthVersionMax="47" xr10:uidLastSave="{00000000-0000-0000-0000-000000000000}"/>
  <bookViews>
    <workbookView xWindow="0" yWindow="660" windowWidth="30240" windowHeight="17960" xr2:uid="{00000000-000D-0000-FFFF-FFFF00000000}"/>
  </bookViews>
  <sheets>
    <sheet name="Portada" sheetId="3" r:id="rId1"/>
    <sheet name="Reparto proporcional" sheetId="1" r:id="rId2"/>
    <sheet name="Complementarias por bloques" sheetId="2" r:id="rId3"/>
    <sheet name="Comparativa" sheetId="4" r:id="rId4"/>
    <sheet name="Itinerancia" sheetId="5" r:id="rId5"/>
    <sheet name="Negociación" sheetId="6" r:id="rId6"/>
    <sheet name="Propuesta para imprimir" sheetId="7" r:id="rId7"/>
  </sheets>
  <definedNames>
    <definedName name="_xlnm.Print_Area" localSheetId="3">Comparativa!$A$1:$H$35</definedName>
    <definedName name="_xlnm.Print_Area" localSheetId="2">'Complementarias por bloques'!$A$1:$P$33</definedName>
    <definedName name="_xlnm.Print_Area" localSheetId="0">Portada!$A$1:$G$31</definedName>
    <definedName name="_xlnm.Print_Area" localSheetId="6">'Propuesta para imprimir'!$A$1:$E$54</definedName>
    <definedName name="_xlnm.Print_Area" localSheetId="1">'Reparto proporcional'!$A$1:$G$35</definedName>
    <definedName name="_xlnm.Print_Titles" localSheetId="2">'Complementarias por bloques'!$6:$6</definedName>
    <definedName name="_xlnm.Print_Titles" localSheetId="1">'Reparto proporcional'!$9:$9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1" i="7" l="1"/>
  <c r="D9" i="7"/>
  <c r="D8" i="7"/>
  <c r="A6" i="7"/>
  <c r="E17" i="6"/>
  <c r="E8" i="7" s="1"/>
  <c r="A54" i="7"/>
  <c r="A50" i="7"/>
  <c r="A49" i="7"/>
  <c r="A48" i="7"/>
  <c r="A47" i="7"/>
  <c r="A43" i="7"/>
  <c r="A39" i="7"/>
  <c r="A38" i="7"/>
  <c r="A37" i="7"/>
  <c r="A36" i="7"/>
  <c r="A40" i="7"/>
  <c r="A35" i="7"/>
  <c r="A34" i="7"/>
  <c r="A33" i="7"/>
  <c r="B29" i="7"/>
  <c r="B28" i="7"/>
  <c r="B27" i="7"/>
  <c r="B26" i="7"/>
  <c r="B25" i="7"/>
  <c r="A19" i="7"/>
  <c r="A18" i="7"/>
  <c r="A14" i="7"/>
  <c r="A13" i="7"/>
  <c r="A12" i="7"/>
  <c r="A11" i="7"/>
  <c r="A10" i="7"/>
  <c r="A2" i="7"/>
  <c r="A53" i="6"/>
  <c r="A17" i="7" s="1"/>
  <c r="A52" i="6"/>
  <c r="A16" i="7" s="1"/>
  <c r="A51" i="6"/>
  <c r="A15" i="7" s="1"/>
  <c r="A40" i="6"/>
  <c r="A39" i="6"/>
  <c r="A38" i="6"/>
  <c r="A27" i="6"/>
  <c r="A26" i="6"/>
  <c r="A25" i="6"/>
  <c r="B16" i="6"/>
  <c r="B80" i="6" s="1"/>
  <c r="A3" i="7" s="1"/>
  <c r="D13" i="6"/>
  <c r="C13" i="6"/>
  <c r="B13" i="6"/>
  <c r="A32" i="5"/>
  <c r="A31" i="5"/>
  <c r="A30" i="5"/>
  <c r="I87" i="5"/>
  <c r="J87" i="5" s="1"/>
  <c r="I86" i="5"/>
  <c r="J86" i="5" s="1"/>
  <c r="I85" i="5"/>
  <c r="J85" i="5" s="1"/>
  <c r="I84" i="5"/>
  <c r="J84" i="5" s="1"/>
  <c r="I83" i="5"/>
  <c r="J83" i="5" s="1"/>
  <c r="I82" i="5"/>
  <c r="J82" i="5" s="1"/>
  <c r="I81" i="5"/>
  <c r="J81" i="5" s="1"/>
  <c r="I80" i="5"/>
  <c r="J80" i="5" s="1"/>
  <c r="D8" i="2"/>
  <c r="D7" i="2"/>
  <c r="D53" i="5"/>
  <c r="D68" i="5" s="1"/>
  <c r="C53" i="5"/>
  <c r="C68" i="5" s="1"/>
  <c r="B53" i="5"/>
  <c r="B68" i="5" s="1"/>
  <c r="D23" i="5"/>
  <c r="C23" i="5"/>
  <c r="B23" i="5"/>
  <c r="B13" i="5"/>
  <c r="C9" i="5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A26" i="4"/>
  <c r="A27" i="4"/>
  <c r="A28" i="4"/>
  <c r="A29" i="4"/>
  <c r="A30" i="4"/>
  <c r="A12" i="4"/>
  <c r="B9" i="3"/>
  <c r="C9" i="3"/>
  <c r="D9" i="3"/>
  <c r="E9" i="3"/>
  <c r="F9" i="3"/>
  <c r="A25" i="2"/>
  <c r="N24" i="2"/>
  <c r="A24" i="2"/>
  <c r="N23" i="2"/>
  <c r="A23" i="2"/>
  <c r="A22" i="2"/>
  <c r="N21" i="2"/>
  <c r="A21" i="2"/>
  <c r="N20" i="2"/>
  <c r="A20" i="2"/>
  <c r="N19" i="2"/>
  <c r="A19" i="2"/>
  <c r="N18" i="2"/>
  <c r="A18" i="2"/>
  <c r="N17" i="2"/>
  <c r="A17" i="2"/>
  <c r="N16" i="2"/>
  <c r="A16" i="2"/>
  <c r="N15" i="2"/>
  <c r="A15" i="2"/>
  <c r="N14" i="2"/>
  <c r="A14" i="2"/>
  <c r="N13" i="2"/>
  <c r="A13" i="2"/>
  <c r="N12" i="2"/>
  <c r="A12" i="2"/>
  <c r="N11" i="2"/>
  <c r="A11" i="2"/>
  <c r="N10" i="2"/>
  <c r="A10" i="2"/>
  <c r="N9" i="2"/>
  <c r="A9" i="2"/>
  <c r="N8" i="2"/>
  <c r="A8" i="2"/>
  <c r="N7" i="2"/>
  <c r="A7" i="2"/>
  <c r="G28" i="1"/>
  <c r="D28" i="1"/>
  <c r="N25" i="2" s="1"/>
  <c r="C28" i="1"/>
  <c r="B28" i="1"/>
  <c r="G27" i="1"/>
  <c r="D27" i="1"/>
  <c r="C27" i="1"/>
  <c r="B27" i="1"/>
  <c r="J24" i="2" s="1"/>
  <c r="I24" i="2" s="1"/>
  <c r="L24" i="2" s="1"/>
  <c r="G26" i="1"/>
  <c r="D26" i="1"/>
  <c r="C26" i="1"/>
  <c r="B26" i="1"/>
  <c r="J23" i="2" s="1"/>
  <c r="I23" i="2" s="1"/>
  <c r="L23" i="2" s="1"/>
  <c r="G25" i="1"/>
  <c r="D25" i="1"/>
  <c r="N22" i="2" s="1"/>
  <c r="C25" i="1"/>
  <c r="B25" i="1"/>
  <c r="G24" i="1"/>
  <c r="D24" i="1"/>
  <c r="C24" i="1"/>
  <c r="B24" i="1"/>
  <c r="G23" i="1"/>
  <c r="D23" i="1"/>
  <c r="C23" i="1"/>
  <c r="B23" i="1"/>
  <c r="J20" i="2" s="1"/>
  <c r="I20" i="2" s="1"/>
  <c r="L20" i="2" s="1"/>
  <c r="G22" i="1"/>
  <c r="D22" i="1"/>
  <c r="C22" i="1"/>
  <c r="B22" i="1"/>
  <c r="G21" i="1"/>
  <c r="D21" i="1"/>
  <c r="C21" i="1"/>
  <c r="B21" i="1"/>
  <c r="J18" i="2" s="1"/>
  <c r="I18" i="2" s="1"/>
  <c r="L18" i="2" s="1"/>
  <c r="G20" i="1"/>
  <c r="D20" i="1"/>
  <c r="C20" i="1"/>
  <c r="B20" i="1"/>
  <c r="J17" i="2" s="1"/>
  <c r="I17" i="2" s="1"/>
  <c r="L17" i="2" s="1"/>
  <c r="G19" i="1"/>
  <c r="D19" i="1"/>
  <c r="C19" i="1"/>
  <c r="B19" i="1"/>
  <c r="G18" i="1"/>
  <c r="D18" i="1"/>
  <c r="C18" i="1"/>
  <c r="B18" i="1"/>
  <c r="J15" i="2" s="1"/>
  <c r="I15" i="2" s="1"/>
  <c r="L15" i="2" s="1"/>
  <c r="G17" i="1"/>
  <c r="D17" i="1"/>
  <c r="C17" i="1"/>
  <c r="B17" i="1"/>
  <c r="J14" i="2" s="1"/>
  <c r="I14" i="2" s="1"/>
  <c r="L14" i="2" s="1"/>
  <c r="G16" i="1"/>
  <c r="D16" i="1"/>
  <c r="C16" i="1"/>
  <c r="B16" i="1"/>
  <c r="G15" i="1"/>
  <c r="D15" i="1"/>
  <c r="C15" i="1"/>
  <c r="B15" i="1"/>
  <c r="J12" i="2" s="1"/>
  <c r="I12" i="2" s="1"/>
  <c r="L12" i="2" s="1"/>
  <c r="G14" i="1"/>
  <c r="D14" i="1"/>
  <c r="C14" i="1"/>
  <c r="B14" i="1"/>
  <c r="J11" i="2" s="1"/>
  <c r="I11" i="2" s="1"/>
  <c r="L11" i="2" s="1"/>
  <c r="G13" i="1"/>
  <c r="D13" i="1"/>
  <c r="C13" i="1"/>
  <c r="B13" i="1"/>
  <c r="J10" i="2" s="1"/>
  <c r="I10" i="2" s="1"/>
  <c r="L10" i="2" s="1"/>
  <c r="G12" i="1"/>
  <c r="D12" i="1"/>
  <c r="C12" i="1"/>
  <c r="B12" i="1"/>
  <c r="J9" i="2" s="1"/>
  <c r="I9" i="2" s="1"/>
  <c r="L9" i="2" s="1"/>
  <c r="G11" i="1"/>
  <c r="D11" i="1"/>
  <c r="C11" i="1"/>
  <c r="B11" i="1"/>
  <c r="J8" i="2" s="1"/>
  <c r="G10" i="1"/>
  <c r="D10" i="1"/>
  <c r="C10" i="1"/>
  <c r="B10" i="1"/>
  <c r="J7" i="2" s="1"/>
  <c r="D17" i="6" l="1"/>
  <c r="D14" i="6"/>
  <c r="D6" i="7" s="1"/>
  <c r="C17" i="6"/>
  <c r="C8" i="7" s="1"/>
  <c r="C14" i="6"/>
  <c r="C6" i="7" s="1"/>
  <c r="B17" i="6"/>
  <c r="B8" i="7" s="1"/>
  <c r="B14" i="6"/>
  <c r="B6" i="7" s="1"/>
  <c r="E14" i="6"/>
  <c r="B14" i="5"/>
  <c r="D46" i="7"/>
  <c r="D78" i="6"/>
  <c r="D39" i="7" s="1"/>
  <c r="D75" i="6"/>
  <c r="D36" i="7" s="1"/>
  <c r="D15" i="6"/>
  <c r="D7" i="7" s="1"/>
  <c r="D68" i="6"/>
  <c r="D69" i="6" s="1"/>
  <c r="D45" i="6"/>
  <c r="D32" i="6"/>
  <c r="D67" i="6"/>
  <c r="D19" i="6"/>
  <c r="D85" i="6"/>
  <c r="D5" i="7"/>
  <c r="C15" i="6"/>
  <c r="C7" i="7" s="1"/>
  <c r="C75" i="6"/>
  <c r="C36" i="7" s="1"/>
  <c r="C68" i="6"/>
  <c r="C69" i="6" s="1"/>
  <c r="C78" i="6" s="1"/>
  <c r="C39" i="7" s="1"/>
  <c r="C5" i="7"/>
  <c r="C45" i="6"/>
  <c r="C85" i="6"/>
  <c r="C67" i="6"/>
  <c r="C46" i="7"/>
  <c r="C19" i="6"/>
  <c r="C32" i="6"/>
  <c r="B32" i="6"/>
  <c r="B75" i="6"/>
  <c r="B36" i="7" s="1"/>
  <c r="B19" i="6"/>
  <c r="B67" i="6"/>
  <c r="B85" i="6"/>
  <c r="B15" i="6"/>
  <c r="B7" i="7" s="1"/>
  <c r="B68" i="6"/>
  <c r="B69" i="6" s="1"/>
  <c r="B78" i="6" s="1"/>
  <c r="B39" i="7" s="1"/>
  <c r="B5" i="7"/>
  <c r="B45" i="6"/>
  <c r="B46" i="7"/>
  <c r="I8" i="2"/>
  <c r="I7" i="2"/>
  <c r="C8" i="2"/>
  <c r="B8" i="2"/>
  <c r="E8" i="2" s="1"/>
  <c r="C7" i="2"/>
  <c r="B7" i="2"/>
  <c r="E24" i="1"/>
  <c r="B26" i="4" s="1"/>
  <c r="J21" i="2"/>
  <c r="I21" i="2" s="1"/>
  <c r="F24" i="1"/>
  <c r="E26" i="4" s="1"/>
  <c r="J16" i="2"/>
  <c r="I16" i="2" s="1"/>
  <c r="F19" i="1"/>
  <c r="E21" i="4" s="1"/>
  <c r="E19" i="1"/>
  <c r="B21" i="4" s="1"/>
  <c r="D64" i="5"/>
  <c r="C64" i="5"/>
  <c r="B64" i="5"/>
  <c r="D54" i="5"/>
  <c r="C54" i="5"/>
  <c r="B54" i="5"/>
  <c r="K24" i="2"/>
  <c r="M24" i="2"/>
  <c r="P24" i="2" s="1"/>
  <c r="F29" i="4" s="1"/>
  <c r="O24" i="2"/>
  <c r="C29" i="4" s="1"/>
  <c r="M23" i="2"/>
  <c r="P23" i="2" s="1"/>
  <c r="F28" i="4" s="1"/>
  <c r="K23" i="2"/>
  <c r="O23" i="2"/>
  <c r="C28" i="4" s="1"/>
  <c r="K20" i="2"/>
  <c r="M20" i="2"/>
  <c r="P20" i="2" s="1"/>
  <c r="F25" i="4" s="1"/>
  <c r="O20" i="2"/>
  <c r="C25" i="4" s="1"/>
  <c r="M18" i="2"/>
  <c r="P18" i="2" s="1"/>
  <c r="F23" i="4" s="1"/>
  <c r="K18" i="2"/>
  <c r="O18" i="2"/>
  <c r="C23" i="4" s="1"/>
  <c r="M17" i="2"/>
  <c r="P17" i="2" s="1"/>
  <c r="F22" i="4" s="1"/>
  <c r="K17" i="2"/>
  <c r="O17" i="2"/>
  <c r="C22" i="4" s="1"/>
  <c r="K15" i="2"/>
  <c r="M15" i="2"/>
  <c r="P15" i="2" s="1"/>
  <c r="F20" i="4" s="1"/>
  <c r="O15" i="2"/>
  <c r="C20" i="4" s="1"/>
  <c r="M14" i="2"/>
  <c r="P14" i="2" s="1"/>
  <c r="F19" i="4" s="1"/>
  <c r="K14" i="2"/>
  <c r="O14" i="2"/>
  <c r="C19" i="4" s="1"/>
  <c r="M12" i="2"/>
  <c r="P12" i="2" s="1"/>
  <c r="F17" i="4" s="1"/>
  <c r="K12" i="2"/>
  <c r="O12" i="2"/>
  <c r="C17" i="4" s="1"/>
  <c r="K11" i="2"/>
  <c r="M11" i="2"/>
  <c r="P11" i="2" s="1"/>
  <c r="F16" i="4" s="1"/>
  <c r="O11" i="2"/>
  <c r="C16" i="4" s="1"/>
  <c r="M10" i="2"/>
  <c r="P10" i="2" s="1"/>
  <c r="F15" i="4" s="1"/>
  <c r="K10" i="2"/>
  <c r="O10" i="2"/>
  <c r="C15" i="4" s="1"/>
  <c r="M9" i="2"/>
  <c r="P9" i="2" s="1"/>
  <c r="F14" i="4" s="1"/>
  <c r="K9" i="2"/>
  <c r="O9" i="2"/>
  <c r="C14" i="4" s="1"/>
  <c r="C7" i="4" s="1"/>
  <c r="F28" i="1"/>
  <c r="E30" i="4" s="1"/>
  <c r="E28" i="1"/>
  <c r="B30" i="4" s="1"/>
  <c r="J25" i="2"/>
  <c r="I25" i="2" s="1"/>
  <c r="F27" i="1"/>
  <c r="E29" i="4" s="1"/>
  <c r="E27" i="1"/>
  <c r="B29" i="4" s="1"/>
  <c r="F26" i="1"/>
  <c r="E28" i="4" s="1"/>
  <c r="E26" i="1"/>
  <c r="B28" i="4" s="1"/>
  <c r="J22" i="2"/>
  <c r="I22" i="2" s="1"/>
  <c r="E25" i="1"/>
  <c r="B27" i="4" s="1"/>
  <c r="F25" i="1"/>
  <c r="E27" i="4" s="1"/>
  <c r="F23" i="1"/>
  <c r="E25" i="4" s="1"/>
  <c r="E23" i="1"/>
  <c r="B25" i="4" s="1"/>
  <c r="J19" i="2"/>
  <c r="I19" i="2" s="1"/>
  <c r="F22" i="1"/>
  <c r="E24" i="4" s="1"/>
  <c r="E22" i="1"/>
  <c r="B24" i="4" s="1"/>
  <c r="F21" i="1"/>
  <c r="E23" i="4" s="1"/>
  <c r="E21" i="1"/>
  <c r="B23" i="4" s="1"/>
  <c r="E20" i="1"/>
  <c r="B22" i="4" s="1"/>
  <c r="F20" i="1"/>
  <c r="E22" i="4" s="1"/>
  <c r="F18" i="1"/>
  <c r="E20" i="4" s="1"/>
  <c r="E18" i="1"/>
  <c r="B20" i="4" s="1"/>
  <c r="E17" i="1"/>
  <c r="B19" i="4" s="1"/>
  <c r="F17" i="1"/>
  <c r="E19" i="4" s="1"/>
  <c r="E16" i="1"/>
  <c r="B18" i="4" s="1"/>
  <c r="F16" i="1"/>
  <c r="E18" i="4" s="1"/>
  <c r="J13" i="2"/>
  <c r="I13" i="2" s="1"/>
  <c r="F15" i="1"/>
  <c r="E17" i="4" s="1"/>
  <c r="E15" i="1"/>
  <c r="B17" i="4" s="1"/>
  <c r="F14" i="1"/>
  <c r="E16" i="4" s="1"/>
  <c r="E14" i="1"/>
  <c r="B16" i="4" s="1"/>
  <c r="F13" i="1"/>
  <c r="E15" i="4" s="1"/>
  <c r="E13" i="1"/>
  <c r="B15" i="4" s="1"/>
  <c r="E12" i="1"/>
  <c r="B14" i="4" s="1"/>
  <c r="F12" i="1"/>
  <c r="E14" i="4" s="1"/>
  <c r="B8" i="4" s="1"/>
  <c r="F11" i="1"/>
  <c r="E13" i="4" s="1"/>
  <c r="E11" i="1"/>
  <c r="B13" i="4" s="1"/>
  <c r="E10" i="1"/>
  <c r="B12" i="4" s="1"/>
  <c r="F10" i="1"/>
  <c r="E12" i="4" s="1"/>
  <c r="B19" i="5" l="1"/>
  <c r="D37" i="5" s="1"/>
  <c r="D57" i="6" s="1"/>
  <c r="D21" i="7" s="1"/>
  <c r="B24" i="5"/>
  <c r="C24" i="5"/>
  <c r="D24" i="5"/>
  <c r="B67" i="5"/>
  <c r="D47" i="7"/>
  <c r="D48" i="7"/>
  <c r="D49" i="7"/>
  <c r="D50" i="7"/>
  <c r="C47" i="7"/>
  <c r="C48" i="7"/>
  <c r="C49" i="7"/>
  <c r="C50" i="7"/>
  <c r="B47" i="7"/>
  <c r="B48" i="7"/>
  <c r="B49" i="7"/>
  <c r="B50" i="7"/>
  <c r="E6" i="7"/>
  <c r="B79" i="6"/>
  <c r="B40" i="7" s="1"/>
  <c r="L8" i="2"/>
  <c r="E7" i="2"/>
  <c r="L7" i="2" s="1"/>
  <c r="D19" i="4"/>
  <c r="D15" i="4"/>
  <c r="O21" i="2"/>
  <c r="C26" i="4" s="1"/>
  <c r="D26" i="4" s="1"/>
  <c r="L21" i="2"/>
  <c r="O16" i="2"/>
  <c r="C21" i="4" s="1"/>
  <c r="D21" i="4" s="1"/>
  <c r="L16" i="2"/>
  <c r="K25" i="2"/>
  <c r="O25" i="2"/>
  <c r="C30" i="4" s="1"/>
  <c r="D30" i="4" s="1"/>
  <c r="L25" i="2"/>
  <c r="O22" i="2"/>
  <c r="C27" i="4" s="1"/>
  <c r="D27" i="4" s="1"/>
  <c r="L22" i="2"/>
  <c r="O19" i="2"/>
  <c r="C24" i="4" s="1"/>
  <c r="D24" i="4" s="1"/>
  <c r="L19" i="2"/>
  <c r="O13" i="2"/>
  <c r="C18" i="4" s="1"/>
  <c r="D18" i="4" s="1"/>
  <c r="L13" i="2"/>
  <c r="D29" i="4"/>
  <c r="D28" i="4"/>
  <c r="D25" i="4"/>
  <c r="D23" i="4"/>
  <c r="D22" i="4"/>
  <c r="D20" i="4"/>
  <c r="D17" i="4"/>
  <c r="D16" i="4"/>
  <c r="G22" i="4"/>
  <c r="H22" i="4" s="1"/>
  <c r="G19" i="4"/>
  <c r="H19" i="4" s="1"/>
  <c r="G20" i="4"/>
  <c r="H20" i="4" s="1"/>
  <c r="M22" i="2"/>
  <c r="P22" i="2" s="1"/>
  <c r="F27" i="4" s="1"/>
  <c r="G27" i="4" s="1"/>
  <c r="H27" i="4" s="1"/>
  <c r="K22" i="2"/>
  <c r="K13" i="2"/>
  <c r="M13" i="2"/>
  <c r="P13" i="2" s="1"/>
  <c r="F18" i="4" s="1"/>
  <c r="G18" i="4" s="1"/>
  <c r="H18" i="4" s="1"/>
  <c r="K21" i="2"/>
  <c r="M21" i="2"/>
  <c r="P21" i="2" s="1"/>
  <c r="F26" i="4" s="1"/>
  <c r="G26" i="4" s="1"/>
  <c r="H26" i="4" s="1"/>
  <c r="K16" i="2"/>
  <c r="M16" i="2"/>
  <c r="P16" i="2" s="1"/>
  <c r="F21" i="4" s="1"/>
  <c r="G21" i="4" s="1"/>
  <c r="H21" i="4" s="1"/>
  <c r="C8" i="4"/>
  <c r="G14" i="4"/>
  <c r="M25" i="2"/>
  <c r="P25" i="2" s="1"/>
  <c r="F30" i="4" s="1"/>
  <c r="G30" i="4" s="1"/>
  <c r="H30" i="4" s="1"/>
  <c r="D14" i="4"/>
  <c r="D7" i="4" s="1"/>
  <c r="E7" i="4" s="1"/>
  <c r="B7" i="4"/>
  <c r="G29" i="4"/>
  <c r="H29" i="4" s="1"/>
  <c r="G28" i="4"/>
  <c r="H28" i="4" s="1"/>
  <c r="G25" i="4"/>
  <c r="H25" i="4" s="1"/>
  <c r="G23" i="4"/>
  <c r="H23" i="4" s="1"/>
  <c r="G17" i="4"/>
  <c r="H17" i="4" s="1"/>
  <c r="G16" i="4"/>
  <c r="H16" i="4" s="1"/>
  <c r="G15" i="4"/>
  <c r="H15" i="4" s="1"/>
  <c r="B17" i="5"/>
  <c r="M19" i="2"/>
  <c r="P19" i="2" s="1"/>
  <c r="F24" i="4" s="1"/>
  <c r="G24" i="4" s="1"/>
  <c r="H24" i="4" s="1"/>
  <c r="K19" i="2"/>
  <c r="C55" i="5" l="1"/>
  <c r="B55" i="5"/>
  <c r="D55" i="5"/>
  <c r="B37" i="5"/>
  <c r="B57" i="6" s="1"/>
  <c r="C37" i="5"/>
  <c r="C57" i="6" s="1"/>
  <c r="C21" i="7" s="1"/>
  <c r="O8" i="2"/>
  <c r="C13" i="4" s="1"/>
  <c r="D13" i="4" s="1"/>
  <c r="K8" i="2"/>
  <c r="M8" i="2"/>
  <c r="P8" i="2" s="1"/>
  <c r="F13" i="4" s="1"/>
  <c r="G13" i="4" s="1"/>
  <c r="H13" i="4" s="1"/>
  <c r="O7" i="2"/>
  <c r="C12" i="4" s="1"/>
  <c r="D12" i="4" s="1"/>
  <c r="M7" i="2"/>
  <c r="K7" i="2"/>
  <c r="H14" i="4"/>
  <c r="E8" i="4" s="1"/>
  <c r="D8" i="4"/>
  <c r="E24" i="5"/>
  <c r="D63" i="5"/>
  <c r="B63" i="5"/>
  <c r="C63" i="5"/>
  <c r="B21" i="7" l="1"/>
  <c r="E57" i="6"/>
  <c r="E21" i="7" s="1"/>
  <c r="D56" i="5"/>
  <c r="B56" i="5"/>
  <c r="B57" i="5" s="1"/>
  <c r="B59" i="5" s="1"/>
  <c r="P7" i="2"/>
  <c r="F12" i="4" s="1"/>
  <c r="G12" i="4" s="1"/>
  <c r="H12" i="4" s="1"/>
  <c r="B16" i="5"/>
  <c r="B66" i="5"/>
  <c r="B34" i="5" s="1"/>
  <c r="B29" i="6" s="1"/>
  <c r="C66" i="5"/>
  <c r="C34" i="5" s="1"/>
  <c r="C29" i="6" s="1"/>
  <c r="C55" i="6" s="1"/>
  <c r="C19" i="7" s="1"/>
  <c r="C56" i="5"/>
  <c r="D66" i="5"/>
  <c r="D34" i="5" s="1"/>
  <c r="D29" i="6" s="1"/>
  <c r="D55" i="6" s="1"/>
  <c r="D19" i="7" s="1"/>
  <c r="E37" i="5"/>
  <c r="C57" i="5" l="1"/>
  <c r="C59" i="5" s="1"/>
  <c r="B58" i="5"/>
  <c r="B55" i="6"/>
  <c r="E29" i="6"/>
  <c r="D62" i="5"/>
  <c r="B62" i="5"/>
  <c r="C62" i="5"/>
  <c r="E34" i="5"/>
  <c r="D57" i="5"/>
  <c r="D59" i="5" s="1"/>
  <c r="E55" i="6" l="1"/>
  <c r="B19" i="7"/>
  <c r="C65" i="5"/>
  <c r="C33" i="5" s="1"/>
  <c r="C28" i="6" s="1"/>
  <c r="C54" i="6" s="1"/>
  <c r="C18" i="7" s="1"/>
  <c r="D65" i="5"/>
  <c r="D33" i="5" s="1"/>
  <c r="D28" i="6" s="1"/>
  <c r="D54" i="6" s="1"/>
  <c r="D18" i="7" s="1"/>
  <c r="B65" i="5"/>
  <c r="B33" i="5" s="1"/>
  <c r="B28" i="6" s="1"/>
  <c r="D60" i="5"/>
  <c r="D61" i="5" s="1"/>
  <c r="B60" i="5"/>
  <c r="B61" i="5" s="1"/>
  <c r="C60" i="5"/>
  <c r="C61" i="5" s="1"/>
  <c r="D69" i="5" l="1"/>
  <c r="D70" i="5" s="1"/>
  <c r="B69" i="5"/>
  <c r="C69" i="5"/>
  <c r="B74" i="6"/>
  <c r="B35" i="7" s="1"/>
  <c r="E19" i="7"/>
  <c r="B54" i="6"/>
  <c r="E28" i="6"/>
  <c r="E33" i="5"/>
  <c r="B70" i="5" l="1"/>
  <c r="C70" i="5"/>
  <c r="E54" i="6"/>
  <c r="B18" i="7"/>
  <c r="D71" i="5" l="1"/>
  <c r="B71" i="5"/>
  <c r="C71" i="5"/>
  <c r="B74" i="5"/>
  <c r="E18" i="7"/>
  <c r="B73" i="6"/>
  <c r="B34" i="7" s="1"/>
  <c r="C72" i="5" l="1"/>
  <c r="D72" i="5"/>
  <c r="D73" i="5" s="1"/>
  <c r="B72" i="5"/>
  <c r="D25" i="5"/>
  <c r="D26" i="5"/>
  <c r="D27" i="5"/>
  <c r="D22" i="6" s="1"/>
  <c r="D48" i="6" s="1"/>
  <c r="D12" i="7" s="1"/>
  <c r="D32" i="5"/>
  <c r="D27" i="6" s="1"/>
  <c r="D53" i="6" s="1"/>
  <c r="D17" i="7" s="1"/>
  <c r="D31" i="5"/>
  <c r="D26" i="6" s="1"/>
  <c r="D52" i="6" s="1"/>
  <c r="D16" i="7" s="1"/>
  <c r="D30" i="5"/>
  <c r="D25" i="6" s="1"/>
  <c r="D51" i="6" s="1"/>
  <c r="D15" i="7" s="1"/>
  <c r="D28" i="5"/>
  <c r="D23" i="6" s="1"/>
  <c r="D49" i="6" s="1"/>
  <c r="D13" i="7" s="1"/>
  <c r="D29" i="5"/>
  <c r="D24" i="6" s="1"/>
  <c r="D50" i="6" s="1"/>
  <c r="D14" i="7" s="1"/>
  <c r="C73" i="5" l="1"/>
  <c r="C9" i="7"/>
  <c r="E9" i="7"/>
  <c r="B9" i="7"/>
  <c r="B73" i="5"/>
  <c r="B81" i="6"/>
  <c r="B41" i="7" s="1"/>
  <c r="C30" i="5"/>
  <c r="C25" i="6" s="1"/>
  <c r="C51" i="6" s="1"/>
  <c r="C15" i="7" s="1"/>
  <c r="C26" i="5"/>
  <c r="D35" i="5"/>
  <c r="D36" i="5"/>
  <c r="D38" i="5" s="1"/>
  <c r="D20" i="6"/>
  <c r="D46" i="6" s="1"/>
  <c r="D39" i="5"/>
  <c r="D21" i="6"/>
  <c r="D47" i="6" s="1"/>
  <c r="C28" i="5" l="1"/>
  <c r="C32" i="5"/>
  <c r="C27" i="6" s="1"/>
  <c r="C53" i="6" s="1"/>
  <c r="C17" i="7" s="1"/>
  <c r="B15" i="5"/>
  <c r="B18" i="5" s="1"/>
  <c r="B20" i="5" s="1"/>
  <c r="C29" i="5"/>
  <c r="C24" i="6" s="1"/>
  <c r="C31" i="5"/>
  <c r="C26" i="6" s="1"/>
  <c r="C52" i="6" s="1"/>
  <c r="C16" i="7" s="1"/>
  <c r="C27" i="5"/>
  <c r="C22" i="6" s="1"/>
  <c r="C48" i="6" s="1"/>
  <c r="C12" i="7" s="1"/>
  <c r="C25" i="5"/>
  <c r="B32" i="5"/>
  <c r="B27" i="5"/>
  <c r="B25" i="5"/>
  <c r="B30" i="5"/>
  <c r="B29" i="5"/>
  <c r="B26" i="5"/>
  <c r="E26" i="5" s="1"/>
  <c r="B31" i="5"/>
  <c r="B28" i="5"/>
  <c r="C21" i="6"/>
  <c r="C47" i="6" s="1"/>
  <c r="D56" i="6"/>
  <c r="D10" i="7"/>
  <c r="D76" i="6"/>
  <c r="D37" i="7" s="1"/>
  <c r="D11" i="7"/>
  <c r="C23" i="6" l="1"/>
  <c r="C49" i="6" s="1"/>
  <c r="C13" i="7" s="1"/>
  <c r="C39" i="5"/>
  <c r="C36" i="5"/>
  <c r="C38" i="5" s="1"/>
  <c r="C20" i="6"/>
  <c r="C46" i="6" s="1"/>
  <c r="C35" i="5"/>
  <c r="B24" i="6"/>
  <c r="B50" i="6" s="1"/>
  <c r="E29" i="5"/>
  <c r="B27" i="6"/>
  <c r="E32" i="5"/>
  <c r="B22" i="6"/>
  <c r="E27" i="5"/>
  <c r="B35" i="5"/>
  <c r="B20" i="6"/>
  <c r="B36" i="5"/>
  <c r="E25" i="5"/>
  <c r="B25" i="6"/>
  <c r="E30" i="5"/>
  <c r="B39" i="5"/>
  <c r="B21" i="6"/>
  <c r="E31" i="5"/>
  <c r="B26" i="6"/>
  <c r="E28" i="5"/>
  <c r="B23" i="6"/>
  <c r="C50" i="6"/>
  <c r="C14" i="7" s="1"/>
  <c r="E24" i="6"/>
  <c r="C11" i="7"/>
  <c r="C76" i="6"/>
  <c r="C37" i="7" s="1"/>
  <c r="D58" i="6"/>
  <c r="D20" i="7"/>
  <c r="B14" i="7"/>
  <c r="E50" i="6" l="1"/>
  <c r="E14" i="7" s="1"/>
  <c r="C56" i="6"/>
  <c r="C10" i="7"/>
  <c r="E35" i="5"/>
  <c r="B53" i="6"/>
  <c r="E27" i="6"/>
  <c r="B48" i="6"/>
  <c r="E22" i="6"/>
  <c r="B46" i="6"/>
  <c r="E20" i="6"/>
  <c r="E36" i="5"/>
  <c r="B38" i="5"/>
  <c r="B51" i="6"/>
  <c r="E25" i="6"/>
  <c r="B47" i="6"/>
  <c r="E21" i="6"/>
  <c r="E26" i="6"/>
  <c r="B52" i="6"/>
  <c r="B49" i="6"/>
  <c r="E23" i="6"/>
  <c r="D77" i="6"/>
  <c r="D38" i="7" s="1"/>
  <c r="D22" i="7"/>
  <c r="C20" i="7" l="1"/>
  <c r="C58" i="6"/>
  <c r="E53" i="6"/>
  <c r="E17" i="7" s="1"/>
  <c r="B17" i="7"/>
  <c r="B12" i="7"/>
  <c r="E48" i="6"/>
  <c r="E12" i="7" s="1"/>
  <c r="E46" i="6"/>
  <c r="B10" i="7"/>
  <c r="B56" i="6"/>
  <c r="E38" i="5"/>
  <c r="E39" i="5"/>
  <c r="B15" i="7"/>
  <c r="E51" i="6"/>
  <c r="E15" i="7" s="1"/>
  <c r="B76" i="6"/>
  <c r="B37" i="7" s="1"/>
  <c r="E47" i="6"/>
  <c r="E11" i="7" s="1"/>
  <c r="B11" i="7"/>
  <c r="E52" i="6"/>
  <c r="E16" i="7" s="1"/>
  <c r="B16" i="7"/>
  <c r="B13" i="7"/>
  <c r="E49" i="6"/>
  <c r="E13" i="7" s="1"/>
  <c r="C77" i="6" l="1"/>
  <c r="C38" i="7" s="1"/>
  <c r="C22" i="7"/>
  <c r="B72" i="6"/>
  <c r="E10" i="7"/>
  <c r="E56" i="6"/>
  <c r="B20" i="7"/>
  <c r="B58" i="6"/>
  <c r="E58" i="6" l="1"/>
  <c r="E22" i="7" s="1"/>
  <c r="E20" i="7"/>
  <c r="B77" i="6"/>
  <c r="B38" i="7" s="1"/>
  <c r="B22" i="7"/>
  <c r="B33" i="7"/>
  <c r="B82" i="6"/>
  <c r="B32" i="7" s="1"/>
</calcChain>
</file>

<file path=xl/sharedStrings.xml><?xml version="1.0" encoding="utf-8"?>
<sst xmlns="http://schemas.openxmlformats.org/spreadsheetml/2006/main" count="302" uniqueCount="217">
  <si>
    <t>Lectivas jornada completa (h)</t>
  </si>
  <si>
    <t>Complementarias jornada completa (h)</t>
  </si>
  <si>
    <t>Cómputo mensual jornada completa (h)</t>
  </si>
  <si>
    <t>Preparación jornada completa (h)</t>
  </si>
  <si>
    <t>Lectivas (A)</t>
  </si>
  <si>
    <t>Complementarias (B)</t>
  </si>
  <si>
    <t>Cómputo mensual (C)</t>
  </si>
  <si>
    <t>Preparación (D)</t>
  </si>
  <si>
    <t>Total A+B</t>
  </si>
  <si>
    <t>Total A+B+C+D</t>
  </si>
  <si>
    <t>% de contrato</t>
  </si>
  <si>
    <t>• Filas de 2 a 18 lectivas: B, C y D = valor de jornada completa × lectivas ÷ 18, redondeado al minuto.</t>
  </si>
  <si>
    <t>• Los totales salen exactos en todas las filas: las fracciones de minuto de B y C se compensan entre sí y D siempre es un número entero de minutos.</t>
  </si>
  <si>
    <t>Propuesta: reparto de las 7 h complementarias en bloques de una hora</t>
  </si>
  <si>
    <t>Lectivas</t>
  </si>
  <si>
    <t>Guardia</t>
  </si>
  <si>
    <t>Reunión dpto. didáctico</t>
  </si>
  <si>
    <t>Organización actividades</t>
  </si>
  <si>
    <t>Complementarias (bloques)</t>
  </si>
  <si>
    <t>Complementarias proporcional</t>
  </si>
  <si>
    <t>Diferencia (min)</t>
  </si>
  <si>
    <t>Comprobación</t>
  </si>
  <si>
    <t>Cómputo mensual ajustado</t>
  </si>
  <si>
    <t>Preparación</t>
  </si>
  <si>
    <t>Reparto proporcional de la jornada docente</t>
  </si>
  <si>
    <t>Redondeo al minuto · las horas se expresan en h:mm</t>
  </si>
  <si>
    <t>← Celdas sombreadas: valores de partida, editables.</t>
  </si>
  <si>
    <t>NOTAS</t>
  </si>
  <si>
    <t>• Fila 18 (sombreada en gris): jornada completa de control: A+B = 25:00 y A+B+C+D = 37:30.</t>
  </si>
  <si>
    <t>← Portada</t>
  </si>
  <si>
    <t>CONSERVATORIO · ORGANIZACIÓN DOCENTE</t>
  </si>
  <si>
    <t>Reparto de horas docentes</t>
  </si>
  <si>
    <t>Jornada proporcional según horas lectivas y propuesta de complementarias en bloques de una hora</t>
  </si>
  <si>
    <t>JORNADA COMPLETA · PARÁMETROS</t>
  </si>
  <si>
    <t>Complementarias</t>
  </si>
  <si>
    <t>Cómputo mensual</t>
  </si>
  <si>
    <t>Jornada total</t>
  </si>
  <si>
    <t>Valores tomados de la hoja «Reparto proporcional». Para cambiarlos, edita allí las celdas sombreadas.</t>
  </si>
  <si>
    <t>CONTENIDO</t>
  </si>
  <si>
    <t>Reparto proporcional</t>
  </si>
  <si>
    <t>Horas complementarias, cómputo mensual y preparación para 2 a 20 lectivas, redondeadas al minuto.</t>
  </si>
  <si>
    <t>Complementarias por bloques</t>
  </si>
  <si>
    <t>CÓMO LEER LAS HOJAS</t>
  </si>
  <si>
    <t>Celda sombreada: valor editable</t>
  </si>
  <si>
    <t>Fila gris en negrita: jornada completa (18 lectivas)</t>
  </si>
  <si>
    <t>Cursiva gris: más de 18 lectivas</t>
  </si>
  <si>
    <t>Revisar</t>
  </si>
  <si>
    <t>Aviso: el bloque se aparta más de 30 min del proporcional</t>
  </si>
  <si>
    <t>Horas expresadas en formato h:mm.</t>
  </si>
  <si>
    <t>01</t>
  </si>
  <si>
    <t>02</t>
  </si>
  <si>
    <t>Comparativa de totales: proporcional vs. bloques de 1 h</t>
  </si>
  <si>
    <t>Elige el número de lectivas para ver los totales A+B y A+B+C+D de cada reparto. Las diferencias se expresan en minutos (bloques − proporcional).</t>
  </si>
  <si>
    <t>← elige de 2 a 20</t>
  </si>
  <si>
    <t>Proporcional</t>
  </si>
  <si>
    <t>Bloques de 1 h</t>
  </si>
  <si>
    <t>Diferencia</t>
  </si>
  <si>
    <t>Estado</t>
  </si>
  <si>
    <t>TABLA COMPLETA</t>
  </si>
  <si>
    <t>A+B proporcional</t>
  </si>
  <si>
    <t>A+B bloques</t>
  </si>
  <si>
    <t>Diferencia A+B (min)</t>
  </si>
  <si>
    <t>A+B+C+D proporcional</t>
  </si>
  <si>
    <t>A+B+C+D bloques</t>
  </si>
  <si>
    <t>Diferencia A+B+C+D (min)</t>
  </si>
  <si>
    <t>• A+B (lectivas + complementarias) puede diferir porque en bloques las complementarias se redondean a la hora entera.</t>
  </si>
  <si>
    <t>• A+B+C+D (jornada total) debe coincidir: la diferencia se compensa en el cómputo mensual. «Revisar» indica que no es así.</t>
  </si>
  <si>
    <t>• La fila sombreada es la del número de lectivas elegido arriba.</t>
  </si>
  <si>
    <t>03</t>
  </si>
  <si>
    <t>Comparativa</t>
  </si>
  <si>
    <t>Comprobación, según lectivas, de los totales A+B y A+B+C+D del reparto proporcional frente al de bloques de 1 h.</t>
  </si>
  <si>
    <t>Calculadora de itinerancia</t>
  </si>
  <si>
    <t>Reparto de la jornada de un docente entre 2 o 3 centros. Introduce los datos en las celdas sombreadas.</t>
  </si>
  <si>
    <t>DATOS</t>
  </si>
  <si>
    <t>Centro 1</t>
  </si>
  <si>
    <t>Centro 2</t>
  </si>
  <si>
    <t>Centro 3</t>
  </si>
  <si>
    <t>Nombre del centro</t>
  </si>
  <si>
    <t>Horas lectivas contratadas (GVA)</t>
  </si>
  <si>
    <t>Criterio para la hora de complementaria sobrante</t>
  </si>
  <si>
    <t>RESUMEN DEL DOCENTE</t>
  </si>
  <si>
    <t>B) Complementarias (bloques de 1 h)</t>
  </si>
  <si>
    <t>C) Cómputo mensual (ajustado por los bloques)</t>
  </si>
  <si>
    <t>D) Preparación</t>
  </si>
  <si>
    <t>Jornada total del docente (A+B+C+D)</t>
  </si>
  <si>
    <t>REPARTO POR CENTRO</t>
  </si>
  <si>
    <t>Concepto</t>
  </si>
  <si>
    <t>Total docente</t>
  </si>
  <si>
    <t xml:space="preserve">      · Guardia</t>
  </si>
  <si>
    <t xml:space="preserve">      · Reunión departamento didáctico</t>
  </si>
  <si>
    <t xml:space="preserve">      · Organización de actividades</t>
  </si>
  <si>
    <t>C) Cómputo mensual</t>
  </si>
  <si>
    <t>Referencia: parte proporcional exacta</t>
  </si>
  <si>
    <t>Diferencia con la referencia (min)</t>
  </si>
  <si>
    <t>Comprobación (actividades = B · total = jornada de referencia)</t>
  </si>
  <si>
    <t>• Las complementarias (B) se reparten en horas enteras: cada centro recibe la parte entera de su cuota y las horas sobrantes se asignan según el criterio elegido.</t>
  </si>
  <si>
    <t>• El cómputo mensual (C) y la preparación (D) se reparten proporcionalmente a las lectivas, redondeados al minuto; el centro con más lectivas absorbe el minuto de redondeo.</t>
  </si>
  <si>
    <t>• El cómputo mensual total ya compensa el redondeo de las complementarias en bloques, así que la jornada total del docente es siempre la proporcional (37:30 con 18 lectivas).</t>
  </si>
  <si>
    <t>• El total de cada centro puede apartarse unos minutos de su parte proporcional exacta (fila «Diferencia»): solo se garantiza la suma del docente.</t>
  </si>
  <si>
    <t>CÁLCULOS AUXILIARES (no editar)</t>
  </si>
  <si>
    <t>N.º de centro</t>
  </si>
  <si>
    <t>Proporción de lectivas</t>
  </si>
  <si>
    <t>Cuota de horas B</t>
  </si>
  <si>
    <t>Parte entera</t>
  </si>
  <si>
    <t>Resto</t>
  </si>
  <si>
    <t>Puntuación para la hora sobrante</t>
  </si>
  <si>
    <t>Orden</t>
  </si>
  <si>
    <t>Horas B del centro</t>
  </si>
  <si>
    <t>Cómputo mensual sin ajustar</t>
  </si>
  <si>
    <t>Preparación sin ajustar</t>
  </si>
  <si>
    <t>Absorbe el redondeo (más lectivas)</t>
  </si>
  <si>
    <t>Horas B sobrantes a repartir</t>
  </si>
  <si>
    <t>Organización de actividades</t>
  </si>
  <si>
    <t>Suma</t>
  </si>
  <si>
    <t>04</t>
  </si>
  <si>
    <t>Itinerancia</t>
  </si>
  <si>
    <t>Calculadora del reparto de la jornada de un docente itinerante entre 2 o 3 centros.</t>
  </si>
  <si>
    <t>Proporcional: al que más le falte</t>
  </si>
  <si>
    <t>Centro de adscripción (n.º 1, 2 o 3)</t>
  </si>
  <si>
    <t xml:space="preserve">      · Atención a familias / tutoría</t>
  </si>
  <si>
    <t>Atención a familias / tutoría</t>
  </si>
  <si>
    <t>• Criterio para la hora sobrante: «Proporcional» la da al centro cuya cuota está más cerca de la hora siguiente (el reparto más ajustado); «más» o «menos lectivas» y «de adscripción» la dan a ese centro. Si sobran 2 h (3 centros), se dan al primero y al segundo según ese orden.</t>
  </si>
  <si>
    <t>• Filas 19 y 20 (en cursiva gris): por cada lectiva de más se restan las horas de B7 (de 0 a 2; la resolución de inicio de curso dice «como máximo dos»); C y D no cambian.</t>
  </si>
  <si>
    <t xml:space="preserve">  Con 2 h, A+B baja a 24 h y 23 h, y la jornada total a 36:30 y 35:30.</t>
  </si>
  <si>
    <t>Propuesta de reparto de las complementarias en horas enteras (guardia, atención a familias / tutoría, reunión de departamento, organización de actividades y otras que se añadan). Editable.</t>
  </si>
  <si>
    <t>Otra 1</t>
  </si>
  <si>
    <t>Otra 2</t>
  </si>
  <si>
    <t>Otra 3</t>
  </si>
  <si>
    <t>DESGLOSE DE B · PROPUESTA (editable; F–H: otras actividades, pon el nombre en la fila 6)</t>
  </si>
  <si>
    <t>Las actividades de cada fila son una propuesta editable (celdas sombreadas), con hasta tres actividades más en F–H (pon el nombre en la fila 6). Las horas B (columna I) son el proporcional redondeado a la hora; los minutos que sobran o faltan se compensan en el cómputo mensual (columna M), para que la jornada total siga siendo la proporcional exacta.</t>
  </si>
  <si>
    <t>Propuesta al bajar de 18 lectivas (de 7 h): 1.º Organización de actividades (3 → 0), 2.º Atención a familias / tutoría (2 → 1), 3.º Guardia (1 → 0), 4.º Atención a familias / tutoría (1 → 0).  Con 19 y 20 lectivas: 1.º Guardia (1 → 0), 2.º Organización de actividades (3 → 1), 3.º Atención a familias / tutoría (2 → 1), 4.º Organización de actividades (1 → 0). La reunión de departamento se mantiene siempre.</t>
  </si>
  <si>
    <t>• Celdas sombreadas (B–H): propuesta editable; cada fila tiene que sumar las horas B de la columna I. Texto gris: viene de la hoja «Reparto proporcional». Negro: fórmulas.</t>
  </si>
  <si>
    <t>• I se redondea a la hora entera más próxima (con 9 lectivas, 3,5 h → 4 h) y no depende del desglose.</t>
  </si>
  <si>
    <t>• K: minutos de complementarias que el bloque añade (+) o quita (−) respecto al proporcional exacto.</t>
  </si>
  <si>
    <t>• M: el cómputo mensual absorbe esa diferencia (M = cómputo proporcional − K), así que B+C y la jornada total siguen siendo proporcionales.</t>
  </si>
  <si>
    <t>• 19 y 20 lectivas: 7 h menos las que indique «Reparto proporcional»!B7 por lectiva extra (con 2 h: 5 h y 3 h). Las actividades de estas dos filas se calculan solas: se quita primero la guardia, después organización de actividades hasta 1 h y luego 1 h de atención a familias / tutoría. No hay diferencia que compensar.</t>
  </si>
  <si>
    <t>• «Comprobación»: «Revisar desglose» si las actividades no suman las horas B; «Revisar» si un bloque se aparta más de 30 min del proporcional.</t>
  </si>
  <si>
    <t>Patrón del itinerante (propuesta): por orden, reunión de departamento, atención a familias / tutoría, organización de actividades y guardia. Al itinerante no se le asigna la tutoría de un grupo salvo necesidad (Orden 44/2012, art. 4.8): esa hora es de atención a familias. La reunión de departamento se mantiene en cada centro.</t>
  </si>
  <si>
    <t>Negociación de una propuesta de reparto</t>
  </si>
  <si>
    <t>Para preparar una propuesta entre 2 o 3 centros. Centros, lectivas, adscripción y criterio se toman de la hoja «Itinerancia». Cambia solo las celdas sombreadas: en la tabla 2, lo que dejes vacío conserva el valor calculado. Después imprime la hoja «Propuesta para imprimir».</t>
  </si>
  <si>
    <t>DATOS DE LA PROPUESTA</t>
  </si>
  <si>
    <t>Docente (mejor un seudónimo, p. ej. «Coro1»)</t>
  </si>
  <si>
    <t>Propuesta n.º</t>
  </si>
  <si>
    <t>Fecha</t>
  </si>
  <si>
    <t>Propone</t>
  </si>
  <si>
    <t>Comentario</t>
  </si>
  <si>
    <t>CENTROS (de la hoja «Itinerancia»)</t>
  </si>
  <si>
    <t>Total</t>
  </si>
  <si>
    <t>Centro</t>
  </si>
  <si>
    <t>Centro de adscripción</t>
  </si>
  <si>
    <t>Criterio de la hora de B sobrante</t>
  </si>
  <si>
    <t>1. REPARTO CALCULADO (hoja «Itinerancia»)</t>
  </si>
  <si>
    <t>B) Complementarias semanales (h)</t>
  </si>
  <si>
    <t xml:space="preserve">      · Reunión de departamento</t>
  </si>
  <si>
    <t>2. CAMBIOS QUE SE PROPONEN (deja vacío lo que no cambia)</t>
  </si>
  <si>
    <t>3. PROPUESTA RESULTANTE</t>
  </si>
  <si>
    <t>Parte proporcional exacta</t>
  </si>
  <si>
    <t>Diferencia con la parte exacta (min)</t>
  </si>
  <si>
    <t>DÍAS DE CADA CENTRO (un centro por día; los acuerdan las direcciones)</t>
  </si>
  <si>
    <t>Lunes</t>
  </si>
  <si>
    <t>Martes</t>
  </si>
  <si>
    <t>Miércoles</t>
  </si>
  <si>
    <t>Jueves</t>
  </si>
  <si>
    <t>Viernes</t>
  </si>
  <si>
    <t>Días</t>
  </si>
  <si>
    <t>Lectivas por día (media)</t>
  </si>
  <si>
    <t>COMPROBACIONES</t>
  </si>
  <si>
    <t>Horas B: suman las del docente</t>
  </si>
  <si>
    <t>C: suma el cómputo mensual del docente</t>
  </si>
  <si>
    <t>D: suma la preparación del docente</t>
  </si>
  <si>
    <t>Por centro</t>
  </si>
  <si>
    <t>Desglose de B (las actividades suman sus horas B)</t>
  </si>
  <si>
    <t>Diferencia con la parte exacta (aviso si pasa de 30 min)</t>
  </si>
  <si>
    <t>Días (de 2 a 5 lectivas por día)</t>
  </si>
  <si>
    <t>Jornada completa: los 5 días ocupados</t>
  </si>
  <si>
    <t>Reparto</t>
  </si>
  <si>
    <t>ESTADO</t>
  </si>
  <si>
    <t>CONFORMIDAD DE LOS CENTROS</t>
  </si>
  <si>
    <t>Conforme (Sí / No)</t>
  </si>
  <si>
    <t>Cargo (p. ej. jefatura de estudios)</t>
  </si>
  <si>
    <t>Observaciones</t>
  </si>
  <si>
    <t>Notas: las horas B y su desglose van en horas enteras; C y D en h:mm (escribe, por ejemplo, 3:53). El desglose de B es una propuesta: cada centro puede cambiarlo. Si la tabla 2 tiene algún valor, la propuesta queda marcada como «ajustada a mano».</t>
  </si>
  <si>
    <t>Propuesta de reparto de la jornada · docente itinerante</t>
  </si>
  <si>
    <t>Comprobaciones</t>
  </si>
  <si>
    <t>Conformidad de los centros</t>
  </si>
  <si>
    <t>Firma</t>
  </si>
  <si>
    <t>Horas B y su desglose en horas enteras; C y D en h:mm. El desglose de B es una propuesta, no una norma. Reparto según la Orden 44/2012 (art. 4.6: parte proporcional en cada centro; art. 5.5: coordina la jefatura de estudios del centro de adscripción).</t>
  </si>
  <si>
    <t>05</t>
  </si>
  <si>
    <t>Negociación</t>
  </si>
  <si>
    <t>Preparar una propuesta entre 2 o 3 centros a partir de «Itinerancia»: cambios a mano, días, comprobaciones y conformidad de cada centro.</t>
  </si>
  <si>
    <t>06</t>
  </si>
  <si>
    <t>Propuesta para imprimir</t>
  </si>
  <si>
    <t>Diseñado por José Luis Miralles Bono (jlmirall.es), con ayuda de Claude. Licencia CC BY-NC-SA 4.0: hay que citar al autor, no se permite el uso comercial y las obras derivadas se comparten con la misma licencia.</t>
  </si>
  <si>
    <t>https://creativecommons.org/licenses/by-nc-sa/4.0/deed.es</t>
  </si>
  <si>
    <t>Versión 1.0.0 · 2-11-2026</t>
  </si>
  <si>
    <t>Complementarias que se restan por cada lectiva de más (h, de 0 a 2; también con 19 o 20)</t>
  </si>
  <si>
    <t>Lectivas de más (0-2; restan B en ese centro)</t>
  </si>
  <si>
    <t>Lectivas contratadas (total)</t>
  </si>
  <si>
    <t>B) Complementarias (bloques de 1 h, tras las lectivas de más)</t>
  </si>
  <si>
    <t>Jornada de referencia (contrato y lectivas de más)</t>
  </si>
  <si>
    <t>A) Lectivas (con las de más)</t>
  </si>
  <si>
    <t>Horas B del contrato (antes de las lectivas de más)</t>
  </si>
  <si>
    <t>Horas que restan sus lectivas de más</t>
  </si>
  <si>
    <t>Restadas en el propio centro</t>
  </si>
  <si>
    <t>Horas B tras restar en el propio centro</t>
  </si>
  <si>
    <t>Orden para restar lo que falte (más horas B primero)</t>
  </si>
  <si>
    <t>Restadas aquí por lectivas de más de otro centro</t>
  </si>
  <si>
    <t>Horas B del centro (final)</t>
  </si>
  <si>
    <t>Horas B que no se han podido restar</t>
  </si>
  <si>
    <t>• Lectivas de más (fila 8): hasta 2 sobre las contratadas, también con contrato parcial. Por cada una se restan de B las horas de «Reparto proporcional»!B7 en el centro donde se imparten; si no llega, en el centro con más horas B, y si tampoco, B queda en 0 y se avisa. C, D y la proporción salen de las contratadas.</t>
  </si>
  <si>
    <t>• El desglose de B en actividades es una propuesta: sale de la tabla «Propuesta de actividades» (fila 78) según las horas B de cada centro. Se puede editar y admite hasta tres actividades más (nombre en F79:H79); cada fila tiene que sumar sus horas B.</t>
  </si>
  <si>
    <t>← desglose de B: propuesta (tabla de la fila 78)</t>
  </si>
  <si>
    <t>PROPUESTA DE ACTIVIDADES SEGÚN LAS HORAS B DE CADA CENTRO (editable; F–H: otras actividades, pon el nombre en la fila 79)</t>
  </si>
  <si>
    <t>Lectivas de más (restan B en ese centro)</t>
  </si>
  <si>
    <t>Lectivas de más</t>
  </si>
  <si>
    <t>Restado de B por lectivas de más</t>
  </si>
  <si>
    <t>La propuesta en una página A4, lista para imprimir o guardar en PDF y firmar.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</si>
</sst>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[h]:mm"/>
    <numFmt numFmtId="165" formatCode="\+0;\-0;0"/>
    <numFmt numFmtId="166" formatCode="[h]:mm&quot; h&quot;"/>
    <numFmt numFmtId="167" formatCode="\+0&quot; min&quot;;\-0&quot; min&quot;;&quot;0 min&quot;"/>
    <numFmt numFmtId="168" formatCode="0.0000"/>
    <numFmt numFmtId="169" formatCode="0.000"/>
    <numFmt numFmtId="170" formatCode="dd/mm/yyyy"/>
    <numFmt numFmtId="171" formatCode="0.0"/>
  </numFmts>
  <fonts count="55" x14ac:knownFonts="1">
    <font>
      <sz val="11"/>
      <color theme="1"/>
      <name val="Calibri"/>
      <family val="2"/>
      <scheme val="minor"/>
    </font>
    <font>
      <sz val="10"/>
      <color rgb="FF262626"/>
      <name val="Arial"/>
      <family val="2"/>
    </font>
    <font>
      <u/>
      <sz val="11"/>
      <color theme="10"/>
      <name val="Calibri"/>
      <family val="2"/>
      <scheme val="minor"/>
    </font>
    <font>
      <sz val="10"/>
      <color rgb="FF8C8C8C"/>
      <name val="Arial"/>
      <family val="2"/>
    </font>
    <font>
      <sz val="10"/>
      <color rgb="FF595959"/>
      <name val="Arial"/>
      <family val="2"/>
    </font>
    <font>
      <i/>
      <sz val="10"/>
      <color rgb="FF8C8C8C"/>
      <name val="Arial"/>
      <family val="2"/>
    </font>
    <font>
      <sz val="10"/>
      <color rgb="FFFFFFFF"/>
      <name val="Arial"/>
      <family val="2"/>
    </font>
    <font>
      <b/>
      <sz val="9"/>
      <color rgb="FF8C8C8C"/>
      <name val="Arial"/>
      <family val="2"/>
    </font>
    <font>
      <sz val="11"/>
      <color rgb="FF595959"/>
      <name val="Calibri"/>
      <family val="2"/>
      <scheme val="minor"/>
    </font>
    <font>
      <b/>
      <sz val="10"/>
      <color rgb="FF8C8C8C"/>
      <name val="Arial"/>
      <family val="2"/>
    </font>
    <font>
      <b/>
      <sz val="26"/>
      <color rgb="FF000000"/>
      <name val="Arial"/>
      <family val="2"/>
    </font>
    <font>
      <sz val="11"/>
      <color rgb="FF262626"/>
      <name val="Arial"/>
      <family val="2"/>
    </font>
    <font>
      <sz val="11"/>
      <color rgb="FF595959"/>
      <name val="Arial"/>
      <family val="2"/>
    </font>
    <font>
      <b/>
      <sz val="20"/>
      <color rgb="FF000000"/>
      <name val="Arial"/>
      <family val="2"/>
    </font>
    <font>
      <b/>
      <sz val="18"/>
      <color rgb="FFBFBFBF"/>
      <name val="Arial"/>
      <family val="2"/>
    </font>
    <font>
      <sz val="11"/>
      <color rgb="FF8C8C8C"/>
      <name val="Arial"/>
      <family val="2"/>
    </font>
    <font>
      <sz val="12"/>
      <color rgb="FF595959"/>
      <name val="Arial"/>
      <family val="2"/>
    </font>
    <font>
      <i/>
      <sz val="12"/>
      <color rgb="FF8C8C8C"/>
      <name val="Arial"/>
      <family val="2"/>
    </font>
    <font>
      <sz val="12"/>
      <color rgb="FF262626"/>
      <name val="Arial"/>
      <family val="2"/>
    </font>
    <font>
      <b/>
      <sz val="13"/>
      <color rgb="FF000000"/>
      <name val="Arial"/>
      <family val="2"/>
    </font>
    <font>
      <b/>
      <sz val="11"/>
      <color rgb="FFFFFFFF"/>
      <name val="Arial"/>
      <family val="2"/>
    </font>
    <font>
      <sz val="13"/>
      <color rgb="FF262626"/>
      <name val="Arial"/>
      <family val="2"/>
    </font>
    <font>
      <b/>
      <sz val="13"/>
      <color rgb="FF262626"/>
      <name val="Arial"/>
      <family val="2"/>
    </font>
    <font>
      <i/>
      <sz val="13"/>
      <color rgb="FF000000"/>
      <name val="Arial"/>
      <family val="2"/>
    </font>
    <font>
      <b/>
      <i/>
      <sz val="13"/>
      <color rgb="FF262626"/>
      <name val="Arial"/>
      <family val="2"/>
    </font>
    <font>
      <i/>
      <sz val="13"/>
      <color rgb="FF262626"/>
      <name val="Arial"/>
      <family val="2"/>
    </font>
    <font>
      <b/>
      <i/>
      <sz val="13"/>
      <color rgb="FF000000"/>
      <name val="Arial"/>
      <family val="2"/>
    </font>
    <font>
      <sz val="13"/>
      <color rgb="FF000000"/>
      <name val="Arial"/>
      <family val="2"/>
    </font>
    <font>
      <b/>
      <sz val="24"/>
      <color rgb="FF000000"/>
      <name val="Arial"/>
      <family val="2"/>
    </font>
    <font>
      <b/>
      <sz val="24"/>
      <color rgb="FFFFFFFF"/>
      <name val="Arial"/>
      <family val="2"/>
    </font>
    <font>
      <b/>
      <sz val="11"/>
      <color rgb="FF262626"/>
      <name val="Arial"/>
      <family val="2"/>
    </font>
    <font>
      <i/>
      <sz val="11"/>
      <color rgb="FF7F7F7F"/>
      <name val="Arial"/>
      <family val="2"/>
    </font>
    <font>
      <b/>
      <i/>
      <sz val="13"/>
      <color rgb="FF666666"/>
      <name val="Arial"/>
      <family val="2"/>
    </font>
    <font>
      <i/>
      <sz val="13"/>
      <color rgb="FF666666"/>
      <name val="Arial"/>
      <family val="2"/>
    </font>
    <font>
      <b/>
      <sz val="13"/>
      <color rgb="FF666666"/>
      <name val="Arial"/>
      <family val="2"/>
    </font>
    <font>
      <sz val="13"/>
      <color rgb="FF666666"/>
      <name val="Arial"/>
      <family val="2"/>
    </font>
    <font>
      <i/>
      <sz val="11"/>
      <color rgb="FF8C8C8C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b/>
      <sz val="20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b/>
      <sz val="13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i/>
      <sz val="11"/>
      <color rgb="FF595959"/>
      <name val="Arial"/>
      <family val="2"/>
    </font>
    <font>
      <b/>
      <sz val="11"/>
      <color rgb="FF595959"/>
      <name val="Arial"/>
      <family val="2"/>
    </font>
    <font>
      <b/>
      <i/>
      <sz val="11"/>
      <color rgb="FF595959"/>
      <name val="Arial"/>
      <family val="2"/>
    </font>
    <font>
      <i/>
      <sz val="10"/>
      <color rgb="FF808080"/>
      <name val="Arial"/>
      <family val="2"/>
    </font>
    <font>
      <i/>
      <sz val="11"/>
      <color rgb="FF808080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1"/>
      <color rgb="FF6E6E6E"/>
      <name val="Calibri"/>
      <family val="2"/>
      <scheme val="minor"/>
    </font>
    <font>
      <sz val="8"/>
      <color rgb="FF6E6E6E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1F1F1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E6E6E6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/>
      <bottom style="thin">
        <color rgb="FFE6E6E6"/>
      </bottom>
      <diagonal/>
    </border>
    <border>
      <left/>
      <right/>
      <top style="thin">
        <color rgb="FFE6E6E6"/>
      </top>
      <bottom style="thin">
        <color rgb="FFE6E6E6"/>
      </bottom>
      <diagonal/>
    </border>
    <border>
      <left/>
      <right/>
      <top style="thin">
        <color rgb="FFE6E6E6"/>
      </top>
      <bottom style="thin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FFFFFF"/>
      </right>
      <top/>
      <bottom/>
      <diagonal/>
    </border>
    <border>
      <left style="thick">
        <color rgb="FFFFFFFF"/>
      </left>
      <right style="thick">
        <color rgb="FFFFFFFF"/>
      </right>
      <top/>
      <bottom/>
      <diagonal/>
    </border>
    <border>
      <left style="thick">
        <color rgb="FFFFFFFF"/>
      </left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/>
      <top/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D9D9D9"/>
      </top>
      <bottom style="thin">
        <color rgb="FF000000"/>
      </bottom>
      <diagonal/>
    </border>
    <border>
      <left/>
      <right style="thin">
        <color rgb="FFD9D9D9"/>
      </right>
      <top/>
      <bottom style="thin">
        <color rgb="FFE6E6E6"/>
      </bottom>
      <diagonal/>
    </border>
    <border>
      <left/>
      <right style="thin">
        <color rgb="FFD9D9D9"/>
      </right>
      <top style="thin">
        <color rgb="FFE6E6E6"/>
      </top>
      <bottom style="thin">
        <color rgb="FFE6E6E6"/>
      </bottom>
      <diagonal/>
    </border>
    <border>
      <left/>
      <right style="thin">
        <color rgb="FFD9D9D9"/>
      </right>
      <top style="thin">
        <color rgb="FFE6E6E6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1">
    <xf numFmtId="0" fontId="0" fillId="0" borderId="0" xfId="0"/>
    <xf numFmtId="0" fontId="1" fillId="0" borderId="0" xfId="0" applyFont="1"/>
    <xf numFmtId="0" fontId="1" fillId="0" borderId="1" xfId="0" applyFont="1" applyBorder="1"/>
    <xf numFmtId="0" fontId="8" fillId="0" borderId="0" xfId="1" applyFont="1" applyFill="1" applyBorder="1" applyAlignment="1">
      <alignment horizontal="right" vertical="center"/>
    </xf>
    <xf numFmtId="0" fontId="7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" fillId="0" borderId="11" xfId="0" applyFont="1" applyBorder="1"/>
    <xf numFmtId="0" fontId="1" fillId="0" borderId="16" xfId="0" applyFont="1" applyBorder="1"/>
    <xf numFmtId="49" fontId="14" fillId="0" borderId="0" xfId="0" applyNumberFormat="1" applyFont="1" applyAlignment="1">
      <alignment horizontal="right" vertical="center"/>
    </xf>
    <xf numFmtId="49" fontId="14" fillId="0" borderId="17" xfId="0" applyNumberFormat="1" applyFont="1" applyBorder="1" applyAlignment="1">
      <alignment horizontal="right" vertical="center"/>
    </xf>
    <xf numFmtId="0" fontId="13" fillId="0" borderId="0" xfId="0" applyFont="1"/>
    <xf numFmtId="0" fontId="15" fillId="0" borderId="1" xfId="0" applyFont="1" applyBorder="1"/>
    <xf numFmtId="0" fontId="17" fillId="0" borderId="0" xfId="0" applyFont="1"/>
    <xf numFmtId="0" fontId="18" fillId="0" borderId="0" xfId="0" applyFont="1"/>
    <xf numFmtId="0" fontId="19" fillId="2" borderId="2" xfId="0" applyFont="1" applyFill="1" applyBorder="1" applyAlignment="1">
      <alignment horizontal="center"/>
    </xf>
    <xf numFmtId="0" fontId="16" fillId="0" borderId="0" xfId="0" applyFont="1" applyAlignment="1">
      <alignment vertical="center" wrapText="1"/>
    </xf>
    <xf numFmtId="0" fontId="20" fillId="3" borderId="0" xfId="0" applyFont="1" applyFill="1" applyAlignment="1">
      <alignment horizontal="center" vertical="center" wrapText="1"/>
    </xf>
    <xf numFmtId="0" fontId="19" fillId="4" borderId="4" xfId="0" applyFont="1" applyFill="1" applyBorder="1" applyAlignment="1">
      <alignment horizontal="center" vertical="center"/>
    </xf>
    <xf numFmtId="164" fontId="19" fillId="4" borderId="4" xfId="0" applyNumberFormat="1" applyFont="1" applyFill="1" applyBorder="1" applyAlignment="1">
      <alignment horizontal="center" vertical="center"/>
    </xf>
    <xf numFmtId="10" fontId="19" fillId="4" borderId="4" xfId="0" applyNumberFormat="1" applyFont="1" applyFill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164" fontId="21" fillId="0" borderId="4" xfId="0" applyNumberFormat="1" applyFont="1" applyBorder="1" applyAlignment="1">
      <alignment horizontal="center" vertical="center"/>
    </xf>
    <xf numFmtId="164" fontId="22" fillId="0" borderId="4" xfId="0" applyNumberFormat="1" applyFont="1" applyBorder="1" applyAlignment="1">
      <alignment horizontal="center" vertical="center"/>
    </xf>
    <xf numFmtId="10" fontId="21" fillId="0" borderId="4" xfId="0" applyNumberFormat="1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164" fontId="21" fillId="0" borderId="5" xfId="0" applyNumberFormat="1" applyFont="1" applyBorder="1" applyAlignment="1">
      <alignment horizontal="center" vertical="center"/>
    </xf>
    <xf numFmtId="164" fontId="22" fillId="0" borderId="5" xfId="0" applyNumberFormat="1" applyFont="1" applyBorder="1" applyAlignment="1">
      <alignment horizontal="center" vertical="center"/>
    </xf>
    <xf numFmtId="10" fontId="21" fillId="0" borderId="5" xfId="0" applyNumberFormat="1" applyFont="1" applyBorder="1" applyAlignment="1">
      <alignment horizontal="center" vertical="center"/>
    </xf>
    <xf numFmtId="0" fontId="9" fillId="0" borderId="0" xfId="0" applyFont="1"/>
    <xf numFmtId="0" fontId="20" fillId="3" borderId="7" xfId="0" applyFont="1" applyFill="1" applyBorder="1" applyAlignment="1">
      <alignment horizontal="center" vertical="center" wrapText="1"/>
    </xf>
    <xf numFmtId="0" fontId="23" fillId="2" borderId="8" xfId="0" applyFont="1" applyFill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165" fontId="25" fillId="0" borderId="3" xfId="0" applyNumberFormat="1" applyFont="1" applyBorder="1" applyAlignment="1">
      <alignment horizontal="center" vertical="center"/>
    </xf>
    <xf numFmtId="164" fontId="25" fillId="0" borderId="3" xfId="0" applyNumberFormat="1" applyFont="1" applyBorder="1" applyAlignment="1">
      <alignment horizontal="center" vertical="center"/>
    </xf>
    <xf numFmtId="164" fontId="26" fillId="0" borderId="3" xfId="0" applyNumberFormat="1" applyFont="1" applyBorder="1" applyAlignment="1">
      <alignment horizontal="center" vertical="center"/>
    </xf>
    <xf numFmtId="0" fontId="23" fillId="2" borderId="9" xfId="0" applyFont="1" applyFill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165" fontId="25" fillId="0" borderId="4" xfId="0" applyNumberFormat="1" applyFont="1" applyBorder="1" applyAlignment="1">
      <alignment horizontal="center" vertical="center"/>
    </xf>
    <xf numFmtId="164" fontId="25" fillId="0" borderId="4" xfId="0" applyNumberFormat="1" applyFont="1" applyBorder="1" applyAlignment="1">
      <alignment horizontal="center" vertical="center"/>
    </xf>
    <xf numFmtId="164" fontId="26" fillId="0" borderId="4" xfId="0" applyNumberFormat="1" applyFont="1" applyBorder="1" applyAlignment="1">
      <alignment horizontal="center" vertical="center"/>
    </xf>
    <xf numFmtId="0" fontId="19" fillId="4" borderId="9" xfId="0" applyFont="1" applyFill="1" applyBorder="1" applyAlignment="1">
      <alignment horizontal="center" vertical="center"/>
    </xf>
    <xf numFmtId="0" fontId="22" fillId="4" borderId="4" xfId="0" applyFont="1" applyFill="1" applyBorder="1" applyAlignment="1">
      <alignment horizontal="center" vertical="center"/>
    </xf>
    <xf numFmtId="165" fontId="22" fillId="4" borderId="4" xfId="0" applyNumberFormat="1" applyFont="1" applyFill="1" applyBorder="1" applyAlignment="1">
      <alignment horizontal="center" vertical="center"/>
    </xf>
    <xf numFmtId="164" fontId="22" fillId="4" borderId="4" xfId="0" applyNumberFormat="1" applyFont="1" applyFill="1" applyBorder="1" applyAlignment="1">
      <alignment horizontal="center" vertical="center"/>
    </xf>
    <xf numFmtId="0" fontId="27" fillId="2" borderId="9" xfId="0" applyFont="1" applyFill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165" fontId="21" fillId="0" borderId="4" xfId="0" applyNumberFormat="1" applyFont="1" applyBorder="1" applyAlignment="1">
      <alignment horizontal="center" vertical="center"/>
    </xf>
    <xf numFmtId="164" fontId="19" fillId="0" borderId="4" xfId="0" applyNumberFormat="1" applyFont="1" applyBorder="1" applyAlignment="1">
      <alignment horizontal="center" vertical="center"/>
    </xf>
    <xf numFmtId="0" fontId="27" fillId="2" borderId="10" xfId="0" applyFont="1" applyFill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165" fontId="21" fillId="0" borderId="5" xfId="0" applyNumberFormat="1" applyFont="1" applyBorder="1" applyAlignment="1">
      <alignment horizontal="center" vertical="center"/>
    </xf>
    <xf numFmtId="164" fontId="19" fillId="0" borderId="5" xfId="0" applyNumberFormat="1" applyFont="1" applyBorder="1" applyAlignment="1">
      <alignment horizontal="center" vertical="center"/>
    </xf>
    <xf numFmtId="0" fontId="16" fillId="0" borderId="0" xfId="0" applyFont="1"/>
    <xf numFmtId="0" fontId="4" fillId="2" borderId="12" xfId="0" applyFont="1" applyFill="1" applyBorder="1" applyAlignment="1">
      <alignment indent="1"/>
    </xf>
    <xf numFmtId="0" fontId="4" fillId="2" borderId="13" xfId="0" applyFont="1" applyFill="1" applyBorder="1" applyAlignment="1">
      <alignment indent="1"/>
    </xf>
    <xf numFmtId="0" fontId="6" fillId="3" borderId="14" xfId="0" applyFont="1" applyFill="1" applyBorder="1" applyAlignment="1">
      <alignment indent="1"/>
    </xf>
    <xf numFmtId="166" fontId="28" fillId="2" borderId="12" xfId="0" applyNumberFormat="1" applyFont="1" applyFill="1" applyBorder="1" applyAlignment="1">
      <alignment horizontal="left" vertical="top" indent="1"/>
    </xf>
    <xf numFmtId="166" fontId="28" fillId="2" borderId="13" xfId="0" applyNumberFormat="1" applyFont="1" applyFill="1" applyBorder="1" applyAlignment="1">
      <alignment horizontal="left" vertical="top" indent="1"/>
    </xf>
    <xf numFmtId="166" fontId="29" fillId="3" borderId="14" xfId="0" applyNumberFormat="1" applyFont="1" applyFill="1" applyBorder="1" applyAlignment="1">
      <alignment horizontal="left" vertical="top" indent="1"/>
    </xf>
    <xf numFmtId="0" fontId="5" fillId="0" borderId="0" xfId="0" applyFont="1"/>
    <xf numFmtId="0" fontId="30" fillId="2" borderId="18" xfId="0" applyFont="1" applyFill="1" applyBorder="1" applyAlignment="1">
      <alignment horizontal="center" vertical="center"/>
    </xf>
    <xf numFmtId="0" fontId="30" fillId="4" borderId="19" xfId="0" applyFont="1" applyFill="1" applyBorder="1" applyAlignment="1">
      <alignment horizontal="center" vertical="center"/>
    </xf>
    <xf numFmtId="0" fontId="31" fillId="0" borderId="19" xfId="0" applyFont="1" applyBorder="1" applyAlignment="1">
      <alignment horizontal="center" vertical="center"/>
    </xf>
    <xf numFmtId="0" fontId="20" fillId="6" borderId="20" xfId="0" applyFont="1" applyFill="1" applyBorder="1" applyAlignment="1">
      <alignment horizontal="center" vertical="center"/>
    </xf>
    <xf numFmtId="0" fontId="3" fillId="0" borderId="16" xfId="0" applyFont="1" applyBorder="1"/>
    <xf numFmtId="0" fontId="32" fillId="0" borderId="3" xfId="0" applyFont="1" applyBorder="1" applyAlignment="1">
      <alignment horizontal="center" vertical="center"/>
    </xf>
    <xf numFmtId="164" fontId="33" fillId="0" borderId="3" xfId="0" applyNumberFormat="1" applyFont="1" applyBorder="1" applyAlignment="1">
      <alignment horizontal="center" vertical="center"/>
    </xf>
    <xf numFmtId="164" fontId="32" fillId="0" borderId="3" xfId="0" applyNumberFormat="1" applyFont="1" applyBorder="1" applyAlignment="1">
      <alignment horizontal="center" vertical="center"/>
    </xf>
    <xf numFmtId="10" fontId="33" fillId="0" borderId="3" xfId="0" applyNumberFormat="1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/>
    </xf>
    <xf numFmtId="164" fontId="33" fillId="0" borderId="4" xfId="0" applyNumberFormat="1" applyFont="1" applyBorder="1" applyAlignment="1">
      <alignment horizontal="center" vertical="center"/>
    </xf>
    <xf numFmtId="164" fontId="32" fillId="0" borderId="4" xfId="0" applyNumberFormat="1" applyFont="1" applyBorder="1" applyAlignment="1">
      <alignment horizontal="center" vertical="center"/>
    </xf>
    <xf numFmtId="10" fontId="33" fillId="0" borderId="4" xfId="0" applyNumberFormat="1" applyFont="1" applyBorder="1" applyAlignment="1">
      <alignment horizontal="center" vertical="center"/>
    </xf>
    <xf numFmtId="0" fontId="34" fillId="4" borderId="4" xfId="0" applyFont="1" applyFill="1" applyBorder="1" applyAlignment="1">
      <alignment horizontal="center" vertical="center"/>
    </xf>
    <xf numFmtId="0" fontId="34" fillId="0" borderId="4" xfId="0" applyFont="1" applyBorder="1" applyAlignment="1">
      <alignment horizontal="center" vertical="center"/>
    </xf>
    <xf numFmtId="0" fontId="34" fillId="0" borderId="5" xfId="0" applyFont="1" applyBorder="1" applyAlignment="1">
      <alignment horizontal="center" vertical="center"/>
    </xf>
    <xf numFmtId="164" fontId="34" fillId="4" borderId="4" xfId="0" applyNumberFormat="1" applyFont="1" applyFill="1" applyBorder="1" applyAlignment="1">
      <alignment horizontal="center" vertical="center"/>
    </xf>
    <xf numFmtId="164" fontId="35" fillId="0" borderId="4" xfId="0" applyNumberFormat="1" applyFont="1" applyBorder="1" applyAlignment="1">
      <alignment horizontal="center" vertical="center"/>
    </xf>
    <xf numFmtId="164" fontId="35" fillId="0" borderId="5" xfId="0" applyNumberFormat="1" applyFont="1" applyBorder="1" applyAlignment="1">
      <alignment horizontal="center" vertical="center"/>
    </xf>
    <xf numFmtId="0" fontId="33" fillId="0" borderId="3" xfId="0" applyFont="1" applyBorder="1" applyAlignment="1">
      <alignment horizontal="center" vertical="center"/>
    </xf>
    <xf numFmtId="0" fontId="33" fillId="0" borderId="4" xfId="0" applyFont="1" applyBorder="1" applyAlignment="1">
      <alignment horizontal="center" vertical="center"/>
    </xf>
    <xf numFmtId="0" fontId="35" fillId="0" borderId="4" xfId="0" applyFont="1" applyBorder="1" applyAlignment="1">
      <alignment horizontal="center" vertical="center"/>
    </xf>
    <xf numFmtId="0" fontId="35" fillId="0" borderId="5" xfId="0" applyFont="1" applyBorder="1" applyAlignment="1">
      <alignment horizontal="center" vertical="center"/>
    </xf>
    <xf numFmtId="0" fontId="12" fillId="0" borderId="1" xfId="0" applyFont="1" applyBorder="1"/>
    <xf numFmtId="0" fontId="11" fillId="0" borderId="1" xfId="0" applyFont="1" applyBorder="1"/>
    <xf numFmtId="0" fontId="8" fillId="0" borderId="0" xfId="1" applyFont="1" applyAlignment="1">
      <alignment horizontal="right" vertical="center"/>
    </xf>
    <xf numFmtId="0" fontId="30" fillId="0" borderId="0" xfId="0" applyFont="1" applyAlignment="1">
      <alignment vertical="center"/>
    </xf>
    <xf numFmtId="0" fontId="13" fillId="2" borderId="21" xfId="0" applyFont="1" applyFill="1" applyBorder="1" applyAlignment="1">
      <alignment horizontal="center" vertical="center"/>
    </xf>
    <xf numFmtId="0" fontId="36" fillId="0" borderId="0" xfId="0" applyFont="1" applyAlignment="1">
      <alignment vertical="center"/>
    </xf>
    <xf numFmtId="0" fontId="20" fillId="3" borderId="0" xfId="0" applyFont="1" applyFill="1" applyAlignment="1">
      <alignment horizontal="center" vertical="center"/>
    </xf>
    <xf numFmtId="0" fontId="30" fillId="0" borderId="15" xfId="0" applyFont="1" applyBorder="1" applyAlignment="1">
      <alignment horizontal="center" vertical="center" wrapText="1"/>
    </xf>
    <xf numFmtId="164" fontId="13" fillId="0" borderId="15" xfId="0" applyNumberFormat="1" applyFont="1" applyBorder="1" applyAlignment="1">
      <alignment horizontal="center" vertical="center"/>
    </xf>
    <xf numFmtId="167" fontId="13" fillId="0" borderId="15" xfId="0" applyNumberFormat="1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30" fillId="0" borderId="22" xfId="0" applyFont="1" applyBorder="1" applyAlignment="1">
      <alignment horizontal="center" vertical="center" wrapText="1"/>
    </xf>
    <xf numFmtId="164" fontId="13" fillId="0" borderId="22" xfId="0" applyNumberFormat="1" applyFont="1" applyBorder="1" applyAlignment="1">
      <alignment horizontal="center" vertical="center"/>
    </xf>
    <xf numFmtId="167" fontId="13" fillId="0" borderId="22" xfId="0" applyNumberFormat="1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164" fontId="21" fillId="0" borderId="3" xfId="0" applyNumberFormat="1" applyFont="1" applyBorder="1" applyAlignment="1">
      <alignment horizontal="center" vertical="center"/>
    </xf>
    <xf numFmtId="164" fontId="22" fillId="0" borderId="3" xfId="0" applyNumberFormat="1" applyFont="1" applyBorder="1" applyAlignment="1">
      <alignment horizontal="center" vertical="center"/>
    </xf>
    <xf numFmtId="165" fontId="35" fillId="0" borderId="3" xfId="0" applyNumberFormat="1" applyFont="1" applyBorder="1" applyAlignment="1">
      <alignment horizontal="center" vertical="center"/>
    </xf>
    <xf numFmtId="0" fontId="35" fillId="0" borderId="3" xfId="0" applyFont="1" applyBorder="1" applyAlignment="1">
      <alignment horizontal="center" vertical="center"/>
    </xf>
    <xf numFmtId="165" fontId="35" fillId="0" borderId="4" xfId="0" applyNumberFormat="1" applyFont="1" applyBorder="1" applyAlignment="1">
      <alignment horizontal="center" vertical="center"/>
    </xf>
    <xf numFmtId="165" fontId="35" fillId="0" borderId="5" xfId="0" applyNumberFormat="1" applyFont="1" applyBorder="1" applyAlignment="1">
      <alignment horizontal="center" vertical="center"/>
    </xf>
    <xf numFmtId="165" fontId="35" fillId="0" borderId="23" xfId="0" applyNumberFormat="1" applyFont="1" applyBorder="1" applyAlignment="1">
      <alignment horizontal="center" vertical="center"/>
    </xf>
    <xf numFmtId="165" fontId="35" fillId="0" borderId="24" xfId="0" applyNumberFormat="1" applyFont="1" applyBorder="1" applyAlignment="1">
      <alignment horizontal="center" vertical="center"/>
    </xf>
    <xf numFmtId="165" fontId="35" fillId="0" borderId="25" xfId="0" applyNumberFormat="1" applyFont="1" applyBorder="1" applyAlignment="1">
      <alignment horizontal="center" vertical="center"/>
    </xf>
    <xf numFmtId="49" fontId="14" fillId="0" borderId="16" xfId="0" applyNumberFormat="1" applyFont="1" applyBorder="1" applyAlignment="1">
      <alignment horizontal="right" vertical="center"/>
    </xf>
    <xf numFmtId="0" fontId="37" fillId="0" borderId="17" xfId="1" applyFont="1" applyBorder="1" applyAlignment="1">
      <alignment vertical="center" wrapText="1" indent="1"/>
    </xf>
    <xf numFmtId="0" fontId="37" fillId="0" borderId="0" xfId="1" applyFont="1" applyBorder="1" applyAlignment="1">
      <alignment vertical="center" wrapText="1" indent="1"/>
    </xf>
    <xf numFmtId="0" fontId="37" fillId="0" borderId="16" xfId="1" applyFont="1" applyBorder="1" applyAlignment="1">
      <alignment vertical="center" wrapText="1" indent="1"/>
    </xf>
    <xf numFmtId="0" fontId="38" fillId="0" borderId="0" xfId="0" applyFont="1"/>
    <xf numFmtId="0" fontId="39" fillId="0" borderId="0" xfId="0" applyFont="1"/>
    <xf numFmtId="0" fontId="20" fillId="3" borderId="0" xfId="0" applyFont="1" applyFill="1"/>
    <xf numFmtId="0" fontId="20" fillId="3" borderId="0" xfId="0" applyFont="1" applyFill="1" applyAlignment="1">
      <alignment horizontal="center"/>
    </xf>
    <xf numFmtId="0" fontId="38" fillId="2" borderId="0" xfId="0" applyFont="1" applyFill="1" applyAlignment="1">
      <alignment horizontal="center"/>
    </xf>
    <xf numFmtId="0" fontId="41" fillId="2" borderId="0" xfId="0" applyFont="1" applyFill="1" applyAlignment="1">
      <alignment horizontal="center"/>
    </xf>
    <xf numFmtId="0" fontId="30" fillId="0" borderId="0" xfId="0" applyFont="1"/>
    <xf numFmtId="1" fontId="42" fillId="0" borderId="0" xfId="0" applyNumberFormat="1" applyFont="1" applyAlignment="1">
      <alignment horizontal="center"/>
    </xf>
    <xf numFmtId="0" fontId="42" fillId="0" borderId="0" xfId="0" applyFont="1" applyAlignment="1">
      <alignment horizontal="center"/>
    </xf>
    <xf numFmtId="164" fontId="42" fillId="0" borderId="0" xfId="0" applyNumberFormat="1" applyFont="1" applyAlignment="1">
      <alignment horizontal="center"/>
    </xf>
    <xf numFmtId="0" fontId="38" fillId="0" borderId="0" xfId="0" applyFont="1" applyAlignment="1">
      <alignment horizontal="center"/>
    </xf>
    <xf numFmtId="0" fontId="43" fillId="0" borderId="0" xfId="0" applyFont="1"/>
    <xf numFmtId="164" fontId="43" fillId="0" borderId="0" xfId="0" applyNumberFormat="1" applyFont="1" applyAlignment="1">
      <alignment horizontal="center"/>
    </xf>
    <xf numFmtId="0" fontId="43" fillId="0" borderId="0" xfId="0" applyFont="1" applyAlignment="1">
      <alignment horizontal="center"/>
    </xf>
    <xf numFmtId="0" fontId="44" fillId="0" borderId="0" xfId="0" applyFont="1"/>
    <xf numFmtId="164" fontId="44" fillId="0" borderId="0" xfId="0" applyNumberFormat="1" applyFont="1" applyAlignment="1">
      <alignment horizontal="center"/>
    </xf>
    <xf numFmtId="164" fontId="12" fillId="0" borderId="0" xfId="0" applyNumberFormat="1" applyFont="1" applyAlignment="1">
      <alignment horizontal="center"/>
    </xf>
    <xf numFmtId="0" fontId="45" fillId="0" borderId="0" xfId="0" applyFont="1"/>
    <xf numFmtId="164" fontId="45" fillId="0" borderId="0" xfId="0" applyNumberFormat="1" applyFont="1" applyAlignment="1">
      <alignment horizontal="center"/>
    </xf>
    <xf numFmtId="165" fontId="45" fillId="0" borderId="0" xfId="0" applyNumberFormat="1" applyFont="1" applyAlignment="1">
      <alignment horizontal="center"/>
    </xf>
    <xf numFmtId="0" fontId="44" fillId="2" borderId="0" xfId="0" applyFont="1" applyFill="1"/>
    <xf numFmtId="164" fontId="44" fillId="2" borderId="0" xfId="0" applyNumberFormat="1" applyFont="1" applyFill="1" applyAlignment="1">
      <alignment horizontal="center"/>
    </xf>
    <xf numFmtId="164" fontId="46" fillId="0" borderId="0" xfId="0" applyNumberFormat="1" applyFont="1" applyAlignment="1">
      <alignment horizontal="center"/>
    </xf>
    <xf numFmtId="164" fontId="47" fillId="0" borderId="0" xfId="0" applyNumberFormat="1" applyFont="1" applyAlignment="1">
      <alignment horizontal="center"/>
    </xf>
    <xf numFmtId="165" fontId="47" fillId="0" borderId="0" xfId="0" applyNumberFormat="1" applyFont="1" applyAlignment="1">
      <alignment horizontal="center"/>
    </xf>
    <xf numFmtId="0" fontId="44" fillId="0" borderId="0" xfId="0" applyFont="1" applyAlignment="1">
      <alignment horizontal="center"/>
    </xf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1" fontId="3" fillId="0" borderId="0" xfId="0" applyNumberFormat="1" applyFont="1" applyAlignment="1">
      <alignment horizontal="center"/>
    </xf>
    <xf numFmtId="168" fontId="3" fillId="0" borderId="0" xfId="0" applyNumberFormat="1" applyFont="1" applyAlignment="1">
      <alignment horizontal="center"/>
    </xf>
    <xf numFmtId="169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20" fillId="3" borderId="0" xfId="0" applyFont="1" applyFill="1" applyAlignment="1">
      <alignment horizontal="center" wrapText="1"/>
    </xf>
    <xf numFmtId="0" fontId="40" fillId="0" borderId="0" xfId="0" applyFont="1" applyAlignment="1">
      <alignment horizontal="center"/>
    </xf>
    <xf numFmtId="0" fontId="19" fillId="4" borderId="0" xfId="0" applyFont="1" applyFill="1" applyAlignment="1">
      <alignment horizontal="center" vertical="center"/>
    </xf>
    <xf numFmtId="0" fontId="20" fillId="4" borderId="0" xfId="0" applyFont="1" applyFill="1" applyAlignment="1">
      <alignment horizontal="center" vertical="center" wrapText="1"/>
    </xf>
    <xf numFmtId="0" fontId="48" fillId="0" borderId="0" xfId="0" applyFont="1"/>
    <xf numFmtId="0" fontId="23" fillId="4" borderId="0" xfId="0" applyFont="1" applyFill="1" applyAlignment="1">
      <alignment horizontal="center" vertical="center"/>
    </xf>
    <xf numFmtId="0" fontId="27" fillId="4" borderId="0" xfId="0" applyFont="1" applyFill="1" applyAlignment="1">
      <alignment horizontal="center" vertical="center"/>
    </xf>
    <xf numFmtId="0" fontId="27" fillId="4" borderId="26" xfId="0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 wrapText="1"/>
    </xf>
    <xf numFmtId="0" fontId="49" fillId="0" borderId="0" xfId="0" applyFont="1"/>
    <xf numFmtId="0" fontId="51" fillId="0" borderId="0" xfId="0" applyFont="1"/>
    <xf numFmtId="0" fontId="52" fillId="0" borderId="0" xfId="0" applyFont="1"/>
    <xf numFmtId="0" fontId="51" fillId="0" borderId="27" xfId="0" applyFont="1" applyBorder="1"/>
    <xf numFmtId="0" fontId="0" fillId="0" borderId="27" xfId="0" applyBorder="1"/>
    <xf numFmtId="0" fontId="51" fillId="7" borderId="0" xfId="0" applyFont="1" applyFill="1"/>
    <xf numFmtId="0" fontId="53" fillId="0" borderId="0" xfId="0" applyFont="1"/>
    <xf numFmtId="0" fontId="50" fillId="0" borderId="0" xfId="0" applyFont="1"/>
    <xf numFmtId="0" fontId="0" fillId="0" borderId="0" xfId="0" applyAlignment="1">
      <alignment horizontal="left"/>
    </xf>
    <xf numFmtId="0" fontId="51" fillId="0" borderId="0" xfId="0" applyFont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27" xfId="0" applyBorder="1" applyAlignment="1">
      <alignment horizontal="center"/>
    </xf>
    <xf numFmtId="1" fontId="51" fillId="0" borderId="0" xfId="0" applyNumberFormat="1" applyFont="1" applyAlignment="1">
      <alignment horizontal="center"/>
    </xf>
    <xf numFmtId="164" fontId="51" fillId="0" borderId="0" xfId="0" applyNumberFormat="1" applyFont="1" applyAlignment="1">
      <alignment horizontal="center"/>
    </xf>
    <xf numFmtId="1" fontId="51" fillId="2" borderId="0" xfId="0" applyNumberFormat="1" applyFont="1" applyFill="1" applyAlignment="1">
      <alignment horizontal="center"/>
    </xf>
    <xf numFmtId="1" fontId="0" fillId="2" borderId="0" xfId="0" applyNumberFormat="1" applyFill="1" applyAlignment="1">
      <alignment horizontal="center"/>
    </xf>
    <xf numFmtId="164" fontId="51" fillId="2" borderId="0" xfId="0" applyNumberFormat="1" applyFont="1" applyFill="1" applyAlignment="1">
      <alignment horizontal="center"/>
    </xf>
    <xf numFmtId="164" fontId="51" fillId="7" borderId="0" xfId="0" applyNumberFormat="1" applyFont="1" applyFill="1" applyAlignment="1">
      <alignment horizontal="center"/>
    </xf>
    <xf numFmtId="164" fontId="53" fillId="0" borderId="0" xfId="0" applyNumberFormat="1" applyFont="1" applyAlignment="1">
      <alignment horizontal="center"/>
    </xf>
    <xf numFmtId="0" fontId="53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171" fontId="0" fillId="0" borderId="0" xfId="0" applyNumberFormat="1" applyAlignment="1">
      <alignment horizontal="center"/>
    </xf>
    <xf numFmtId="170" fontId="0" fillId="2" borderId="0" xfId="0" applyNumberFormat="1" applyFill="1" applyAlignment="1">
      <alignment horizontal="center"/>
    </xf>
    <xf numFmtId="0" fontId="0" fillId="2" borderId="0" xfId="0" applyFill="1" applyAlignment="1">
      <alignment horizontal="left"/>
    </xf>
    <xf numFmtId="170" fontId="0" fillId="2" borderId="0" xfId="0" applyNumberFormat="1" applyFill="1" applyAlignment="1">
      <alignment horizontal="left"/>
    </xf>
    <xf numFmtId="0" fontId="0" fillId="0" borderId="28" xfId="0" applyBorder="1"/>
    <xf numFmtId="0" fontId="51" fillId="0" borderId="27" xfId="0" applyFont="1" applyBorder="1" applyAlignment="1">
      <alignment horizontal="center"/>
    </xf>
    <xf numFmtId="164" fontId="0" fillId="0" borderId="0" xfId="0" applyNumberFormat="1" applyAlignment="1">
      <alignment horizontal="center"/>
    </xf>
    <xf numFmtId="1" fontId="53" fillId="0" borderId="0" xfId="0" applyNumberFormat="1" applyFont="1" applyAlignment="1">
      <alignment horizontal="center"/>
    </xf>
    <xf numFmtId="170" fontId="0" fillId="0" borderId="0" xfId="0" applyNumberFormat="1" applyAlignment="1">
      <alignment horizontal="center"/>
    </xf>
    <xf numFmtId="0" fontId="54" fillId="0" borderId="0" xfId="0" applyFont="1"/>
    <xf numFmtId="0" fontId="1" fillId="0" borderId="0" xfId="0" applyFont="1" applyAlignment="1">
      <alignment wrapText="1"/>
    </xf>
    <xf numFmtId="0" fontId="8" fillId="0" borderId="0" xfId="0" applyFont="1" applyAlignment="1">
      <alignment vertical="center" indent="1"/>
    </xf>
    <xf numFmtId="0" fontId="8" fillId="0" borderId="17" xfId="0" applyFont="1" applyBorder="1" applyAlignment="1">
      <alignment vertical="center" wrapText="1" indent="1"/>
    </xf>
    <xf numFmtId="0" fontId="8" fillId="0" borderId="0" xfId="0" applyFont="1" applyAlignment="1">
      <alignment vertical="center" wrapText="1" indent="1"/>
    </xf>
    <xf numFmtId="0" fontId="8" fillId="0" borderId="16" xfId="0" applyFont="1" applyBorder="1" applyAlignment="1">
      <alignment vertical="center" wrapText="1" indent="1"/>
    </xf>
    <xf numFmtId="0" fontId="0" fillId="0" borderId="0" xfId="0" applyAlignment="1">
      <alignment vertical="center"/>
    </xf>
    <xf numFmtId="0" fontId="12" fillId="0" borderId="1" xfId="0" applyFont="1" applyBorder="1" applyAlignment="1">
      <alignment vertical="top" wrapText="1"/>
    </xf>
    <xf numFmtId="0" fontId="11" fillId="5" borderId="6" xfId="0" applyFont="1" applyFill="1" applyBorder="1" applyAlignment="1">
      <alignment vertical="center" wrapText="1" indent="1"/>
    </xf>
    <xf numFmtId="0" fontId="11" fillId="5" borderId="0" xfId="0" applyFont="1" applyFill="1" applyAlignment="1">
      <alignment vertical="center" wrapText="1" indent="1"/>
    </xf>
    <xf numFmtId="0" fontId="38" fillId="2" borderId="0" xfId="0" applyFont="1" applyFill="1"/>
    <xf numFmtId="0" fontId="53" fillId="0" borderId="0" xfId="0" applyFont="1" applyAlignment="1">
      <alignment wrapText="1"/>
    </xf>
    <xf numFmtId="0" fontId="0" fillId="0" borderId="0" xfId="0" applyAlignment="1">
      <alignment wrapText="1"/>
    </xf>
    <xf numFmtId="0" fontId="0" fillId="2" borderId="0" xfId="0" applyFill="1" applyAlignment="1">
      <alignment wrapText="1"/>
    </xf>
  </cellXfs>
  <cellStyles count="2">
    <cellStyle name="Hipervínculo" xfId="1" builtinId="8"/>
    <cellStyle name="Normal" xfId="0" builtinId="0"/>
  </cellStyles>
  <dxfs count="4">
    <dxf>
      <font>
        <b/>
        <i val="0"/>
        <color rgb="FFFFFFFF"/>
      </font>
      <fill>
        <patternFill patternType="solid">
          <fgColor indexed="64"/>
          <bgColor rgb="FF000000"/>
        </patternFill>
      </fill>
    </dxf>
    <dxf>
      <font>
        <b/>
        <i val="0"/>
        <color rgb="FFFFFFFF"/>
      </font>
      <fill>
        <patternFill patternType="solid">
          <fgColor indexed="64"/>
          <bgColor rgb="FF000000"/>
        </patternFill>
      </fill>
    </dxf>
    <dxf>
      <font>
        <b/>
        <i val="0"/>
        <color rgb="FF000000"/>
      </font>
      <fill>
        <patternFill patternType="solid">
          <fgColor indexed="64"/>
          <bgColor rgb="FFD9D9D9"/>
        </patternFill>
      </fill>
    </dxf>
    <dxf>
      <font>
        <b/>
        <i val="0"/>
        <color rgb="FFFFFFFF"/>
      </font>
      <fill>
        <patternFill patternType="solid">
          <fgColor indexed="64"/>
          <bgColor rgb="FF0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8A2290A6-221F-254A-9BB9-20EA7C604DC1}">
  <we:reference id="wa200010725" version="1.0.0.1" store="en-US" storeType="OMEX"/>
  <we:alternateReferences>
    <we:reference id="WA200010725" version="1.0.0.1" store="" storeType="OMEX"/>
  </we:alternateReferences>
  <we:properties>
    <we:property name="claude.fileId" value="&quot;7d948ba4-b8c5-42f5-aa65-cbb17f832207&quot;"/>
  </we:properties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031E6-E9CF-9B4F-8EB3-CD359FC40123}">
  <sheetPr>
    <tabColor rgb="FF000000"/>
    <pageSetUpPr fitToPage="1"/>
  </sheetPr>
  <dimension ref="A1:H33"/>
  <sheetViews>
    <sheetView showGridLines="0" tabSelected="1" workbookViewId="0">
      <selection activeCell="A17" sqref="A17:G18"/>
    </sheetView>
  </sheetViews>
  <sheetFormatPr baseColWidth="10" defaultRowHeight="15" x14ac:dyDescent="0.2"/>
  <cols>
    <col min="1" max="1" width="4" customWidth="1"/>
    <col min="2" max="6" width="19.6640625" customWidth="1"/>
    <col min="7" max="7" width="4" customWidth="1"/>
  </cols>
  <sheetData>
    <row r="1" spans="1:8" x14ac:dyDescent="0.2">
      <c r="A1" s="1"/>
      <c r="B1" s="1"/>
      <c r="C1" s="1"/>
      <c r="D1" s="1"/>
      <c r="E1" s="1"/>
      <c r="F1" s="1"/>
      <c r="G1" s="1"/>
      <c r="H1" s="1"/>
    </row>
    <row r="2" spans="1:8" x14ac:dyDescent="0.2">
      <c r="A2" s="1"/>
      <c r="B2" s="4" t="s">
        <v>30</v>
      </c>
      <c r="C2" s="1"/>
      <c r="D2" s="1"/>
      <c r="E2" s="1"/>
      <c r="F2" s="1"/>
      <c r="G2" s="1"/>
      <c r="H2" s="1"/>
    </row>
    <row r="3" spans="1:8" ht="44" customHeight="1" x14ac:dyDescent="0.35">
      <c r="A3" s="1"/>
      <c r="B3" s="5" t="s">
        <v>31</v>
      </c>
      <c r="C3" s="1"/>
      <c r="D3" s="1"/>
      <c r="E3" s="1"/>
      <c r="F3" s="1"/>
      <c r="G3" s="1"/>
      <c r="H3" s="1"/>
    </row>
    <row r="4" spans="1:8" ht="22" customHeight="1" x14ac:dyDescent="0.2">
      <c r="A4" s="1"/>
      <c r="B4" s="54" t="s">
        <v>32</v>
      </c>
      <c r="C4" s="1"/>
      <c r="D4" s="1"/>
      <c r="E4" s="1"/>
      <c r="F4" s="1"/>
      <c r="G4" s="1"/>
      <c r="H4" s="1"/>
    </row>
    <row r="5" spans="1:8" ht="10" customHeight="1" thickBot="1" x14ac:dyDescent="0.25">
      <c r="A5" s="1"/>
      <c r="B5" s="8"/>
      <c r="C5" s="8"/>
      <c r="D5" s="8"/>
      <c r="E5" s="8"/>
      <c r="F5" s="8"/>
      <c r="G5" s="1"/>
      <c r="H5" s="1"/>
    </row>
    <row r="6" spans="1:8" ht="16" thickTop="1" x14ac:dyDescent="0.2">
      <c r="A6" s="1"/>
      <c r="B6" s="1"/>
      <c r="C6" s="1"/>
      <c r="D6" s="1"/>
      <c r="E6" s="1"/>
      <c r="F6" s="1"/>
      <c r="G6" s="1"/>
      <c r="H6" s="1"/>
    </row>
    <row r="7" spans="1:8" x14ac:dyDescent="0.2">
      <c r="A7" s="1"/>
      <c r="B7" s="4" t="s">
        <v>33</v>
      </c>
      <c r="C7" s="1"/>
      <c r="D7" s="1"/>
      <c r="E7" s="1"/>
      <c r="F7" s="1"/>
      <c r="G7" s="1"/>
      <c r="H7" s="1"/>
    </row>
    <row r="8" spans="1:8" ht="24" customHeight="1" x14ac:dyDescent="0.2">
      <c r="A8" s="1"/>
      <c r="B8" s="55" t="s">
        <v>14</v>
      </c>
      <c r="C8" s="56" t="s">
        <v>34</v>
      </c>
      <c r="D8" s="56" t="s">
        <v>35</v>
      </c>
      <c r="E8" s="56" t="s">
        <v>23</v>
      </c>
      <c r="F8" s="57" t="s">
        <v>36</v>
      </c>
      <c r="G8" s="1"/>
      <c r="H8" s="1"/>
    </row>
    <row r="9" spans="1:8" ht="44" customHeight="1" x14ac:dyDescent="0.2">
      <c r="A9" s="1"/>
      <c r="B9" s="58">
        <f>'Reparto proporcional'!B3/24</f>
        <v>0.75</v>
      </c>
      <c r="C9" s="59">
        <f>'Reparto proporcional'!B4/24</f>
        <v>0.29166666666666669</v>
      </c>
      <c r="D9" s="59">
        <f>'Reparto proporcional'!B5/24</f>
        <v>0.20833333333333334</v>
      </c>
      <c r="E9" s="59">
        <f>'Reparto proporcional'!B6/24</f>
        <v>0.3125</v>
      </c>
      <c r="F9" s="60">
        <f>SUM('Reparto proporcional'!B3:B6)/24</f>
        <v>1.5625</v>
      </c>
      <c r="G9" s="1"/>
      <c r="H9" s="1"/>
    </row>
    <row r="10" spans="1:8" ht="20" customHeight="1" x14ac:dyDescent="0.2">
      <c r="A10" s="1"/>
      <c r="B10" s="61" t="s">
        <v>37</v>
      </c>
      <c r="C10" s="1"/>
      <c r="D10" s="1"/>
      <c r="E10" s="1"/>
      <c r="F10" s="1"/>
      <c r="G10" s="1"/>
      <c r="H10" s="1"/>
    </row>
    <row r="11" spans="1:8" x14ac:dyDescent="0.2">
      <c r="A11" s="1"/>
      <c r="B11" s="1"/>
      <c r="C11" s="1"/>
      <c r="D11" s="1"/>
      <c r="E11" s="1"/>
      <c r="F11" s="1"/>
      <c r="G11" s="1"/>
      <c r="H11" s="1"/>
    </row>
    <row r="12" spans="1:8" x14ac:dyDescent="0.2">
      <c r="A12" s="1"/>
      <c r="B12" s="4" t="s">
        <v>38</v>
      </c>
      <c r="C12" s="1"/>
      <c r="D12" s="1"/>
      <c r="E12" s="1"/>
      <c r="F12" s="1"/>
      <c r="G12" s="1"/>
      <c r="H12" s="1"/>
    </row>
    <row r="13" spans="1:8" ht="50" customHeight="1" x14ac:dyDescent="0.2">
      <c r="A13" s="1"/>
      <c r="B13" s="10" t="s">
        <v>49</v>
      </c>
      <c r="C13" s="112" t="s">
        <v>39</v>
      </c>
      <c r="D13" s="191" t="s">
        <v>40</v>
      </c>
      <c r="E13" s="191"/>
      <c r="F13" s="191"/>
      <c r="G13" s="1"/>
      <c r="H13" s="1"/>
    </row>
    <row r="14" spans="1:8" ht="50" customHeight="1" x14ac:dyDescent="0.2">
      <c r="A14" s="1"/>
      <c r="B14" s="110" t="s">
        <v>50</v>
      </c>
      <c r="C14" s="113" t="s">
        <v>41</v>
      </c>
      <c r="D14" s="192" t="s">
        <v>124</v>
      </c>
      <c r="E14" s="192"/>
      <c r="F14" s="192"/>
      <c r="G14" s="1"/>
      <c r="H14" s="1"/>
    </row>
    <row r="15" spans="1:8" ht="50" customHeight="1" x14ac:dyDescent="0.2">
      <c r="A15" s="1"/>
      <c r="B15" s="11" t="s">
        <v>68</v>
      </c>
      <c r="C15" s="111" t="s">
        <v>69</v>
      </c>
      <c r="D15" s="190" t="s">
        <v>70</v>
      </c>
      <c r="E15" s="190"/>
      <c r="F15" s="190"/>
      <c r="G15" s="1"/>
      <c r="H15" s="1"/>
    </row>
    <row r="16" spans="1:8" ht="50" customHeight="1" x14ac:dyDescent="0.2">
      <c r="A16" s="1"/>
      <c r="B16" s="11" t="s">
        <v>114</v>
      </c>
      <c r="C16" s="111" t="s">
        <v>115</v>
      </c>
      <c r="D16" s="190" t="s">
        <v>116</v>
      </c>
      <c r="E16" s="190"/>
      <c r="F16" s="190"/>
      <c r="G16" s="1"/>
      <c r="H16" s="1"/>
    </row>
    <row r="17" spans="1:8" ht="50" customHeight="1" x14ac:dyDescent="0.2">
      <c r="A17" s="1"/>
      <c r="B17" s="11" t="s">
        <v>187</v>
      </c>
      <c r="C17" s="111" t="s">
        <v>188</v>
      </c>
      <c r="D17" s="190" t="s">
        <v>189</v>
      </c>
      <c r="E17" s="190"/>
      <c r="F17" s="190"/>
      <c r="G17" s="1"/>
      <c r="H17" s="1"/>
    </row>
    <row r="18" spans="1:8" ht="50" customHeight="1" x14ac:dyDescent="0.2">
      <c r="A18" s="1"/>
      <c r="B18" s="11" t="s">
        <v>190</v>
      </c>
      <c r="C18" s="111" t="s">
        <v>191</v>
      </c>
      <c r="D18" s="190" t="s">
        <v>216</v>
      </c>
      <c r="E18" s="190"/>
      <c r="F18" s="190"/>
      <c r="G18" s="1"/>
      <c r="H18" s="1"/>
    </row>
    <row r="19" spans="1:8" x14ac:dyDescent="0.2">
      <c r="A19" s="1"/>
      <c r="B19" s="4" t="s">
        <v>42</v>
      </c>
      <c r="C19" s="1"/>
      <c r="D19" s="1"/>
      <c r="E19" s="1"/>
      <c r="F19" s="1"/>
      <c r="G19" s="1"/>
      <c r="H19" s="1"/>
    </row>
    <row r="20" spans="1:8" ht="26" customHeight="1" thickBot="1" x14ac:dyDescent="0.25">
      <c r="A20" s="1"/>
      <c r="B20" s="62">
        <v>8</v>
      </c>
      <c r="C20" s="189" t="s">
        <v>43</v>
      </c>
      <c r="D20" s="193"/>
      <c r="E20" s="193"/>
      <c r="F20" s="193"/>
      <c r="G20" s="1"/>
      <c r="H20" s="1"/>
    </row>
    <row r="21" spans="1:8" ht="26" customHeight="1" thickTop="1" thickBot="1" x14ac:dyDescent="0.25">
      <c r="A21" s="1"/>
      <c r="B21" s="63">
        <v>18</v>
      </c>
      <c r="C21" s="189" t="s">
        <v>44</v>
      </c>
      <c r="D21" s="193"/>
      <c r="E21" s="193"/>
      <c r="F21" s="193"/>
      <c r="G21" s="1"/>
      <c r="H21" s="1"/>
    </row>
    <row r="22" spans="1:8" ht="26" customHeight="1" thickTop="1" thickBot="1" x14ac:dyDescent="0.25">
      <c r="A22" s="1"/>
      <c r="B22" s="64">
        <v>19</v>
      </c>
      <c r="C22" s="189" t="s">
        <v>45</v>
      </c>
      <c r="D22" s="193"/>
      <c r="E22" s="193"/>
      <c r="F22" s="193"/>
      <c r="G22" s="1"/>
      <c r="H22" s="1"/>
    </row>
    <row r="23" spans="1:8" ht="26" customHeight="1" thickTop="1" x14ac:dyDescent="0.2">
      <c r="A23" s="1"/>
      <c r="B23" s="65" t="s">
        <v>46</v>
      </c>
      <c r="C23" s="189" t="s">
        <v>47</v>
      </c>
      <c r="D23" s="189"/>
      <c r="E23" s="189"/>
      <c r="F23" s="189"/>
      <c r="G23" s="1"/>
      <c r="H23" s="1"/>
    </row>
    <row r="24" spans="1:8" x14ac:dyDescent="0.2">
      <c r="A24" s="1"/>
      <c r="B24" s="1"/>
      <c r="C24" s="1"/>
      <c r="D24" s="1"/>
      <c r="E24" s="1"/>
      <c r="F24" s="1"/>
      <c r="G24" s="1"/>
      <c r="H24" s="1"/>
    </row>
    <row r="25" spans="1:8" x14ac:dyDescent="0.2">
      <c r="A25" s="1"/>
      <c r="B25" s="66" t="s">
        <v>48</v>
      </c>
      <c r="C25" s="9"/>
      <c r="D25" s="9"/>
      <c r="E25" s="9"/>
      <c r="F25" s="9"/>
      <c r="G25" s="1"/>
      <c r="H25" s="1"/>
    </row>
    <row r="26" spans="1:8" x14ac:dyDescent="0.2">
      <c r="A26" s="1"/>
      <c r="B26" s="1"/>
      <c r="C26" s="1"/>
      <c r="D26" s="1"/>
      <c r="E26" s="1"/>
      <c r="F26" s="1"/>
      <c r="G26" s="1"/>
      <c r="H26" s="1"/>
    </row>
    <row r="27" spans="1:8" ht="45" customHeight="1" x14ac:dyDescent="0.2">
      <c r="A27" s="1"/>
      <c r="B27" s="188" t="s">
        <v>192</v>
      </c>
      <c r="C27" s="188"/>
      <c r="D27" s="188"/>
      <c r="E27" s="188"/>
      <c r="F27" s="188"/>
      <c r="G27" s="1"/>
      <c r="H27" s="1"/>
    </row>
    <row r="28" spans="1:8" x14ac:dyDescent="0.2">
      <c r="A28" s="1"/>
      <c r="B28" s="1" t="s">
        <v>193</v>
      </c>
      <c r="C28" s="1"/>
      <c r="D28" s="1"/>
      <c r="E28" s="1"/>
      <c r="F28" s="1"/>
      <c r="G28" s="1"/>
      <c r="H28" s="1"/>
    </row>
    <row r="29" spans="1:8" x14ac:dyDescent="0.2">
      <c r="A29" s="1"/>
      <c r="B29" s="1"/>
      <c r="C29" s="1"/>
      <c r="D29" s="1"/>
      <c r="E29" s="1"/>
      <c r="F29" s="1"/>
      <c r="G29" s="1"/>
      <c r="H29" s="1"/>
    </row>
    <row r="30" spans="1:8" x14ac:dyDescent="0.2">
      <c r="A30" s="1"/>
      <c r="B30" s="1" t="s">
        <v>194</v>
      </c>
      <c r="C30" s="1"/>
      <c r="D30" s="1"/>
      <c r="E30" s="1"/>
      <c r="F30" s="1"/>
      <c r="G30" s="1"/>
      <c r="H30" s="1"/>
    </row>
    <row r="31" spans="1:8" x14ac:dyDescent="0.2">
      <c r="A31" s="1"/>
      <c r="B31" s="1"/>
      <c r="C31" s="1"/>
      <c r="D31" s="1"/>
      <c r="E31" s="1"/>
      <c r="F31" s="1"/>
      <c r="G31" s="1"/>
      <c r="H31" s="1"/>
    </row>
    <row r="32" spans="1:8" x14ac:dyDescent="0.2">
      <c r="A32" s="1"/>
      <c r="B32" s="1"/>
      <c r="C32" s="1"/>
      <c r="D32" s="1"/>
      <c r="E32" s="1"/>
      <c r="F32" s="1"/>
      <c r="G32" s="1"/>
      <c r="H32" s="1"/>
    </row>
    <row r="33" spans="1:8" x14ac:dyDescent="0.2">
      <c r="A33" s="1"/>
      <c r="B33" s="1"/>
      <c r="C33" s="1"/>
      <c r="D33" s="1"/>
      <c r="E33" s="1"/>
      <c r="F33" s="1"/>
      <c r="G33" s="1"/>
      <c r="H33" s="1"/>
    </row>
  </sheetData>
  <mergeCells count="11">
    <mergeCell ref="B27:F27"/>
    <mergeCell ref="C23:F23"/>
    <mergeCell ref="D15:F15"/>
    <mergeCell ref="D16:F16"/>
    <mergeCell ref="D13:F13"/>
    <mergeCell ref="D14:F14"/>
    <mergeCell ref="C20:F20"/>
    <mergeCell ref="C21:F21"/>
    <mergeCell ref="C22:F22"/>
    <mergeCell ref="D17:F17"/>
    <mergeCell ref="D18:F18"/>
  </mergeCells>
  <hyperlinks>
    <hyperlink ref="C13" location="'Reparto proporcional'!A1" display="Reparto proporcional" xr:uid="{6ED5BFE7-3ABB-8E4E-AFA0-234650ED97F9}"/>
    <hyperlink ref="C14" location="'Complementarias por bloques'!A1" display="Complementarias por bloques" xr:uid="{B5FE70E7-4971-7748-8BB3-342FF24C8654}"/>
    <hyperlink ref="C15" location="'Comparativa'!A1" display="Comparativa" xr:uid="{610D9E7A-BEEA-694A-AA7E-117F630FA913}"/>
    <hyperlink ref="C16" location="'Comparativa'!A1" display="Comparativa" xr:uid="{D66DBFDE-FAF7-B64E-8877-5EB12493B2F6}"/>
  </hyperlinks>
  <printOptions horizontalCentered="1"/>
  <pageMargins left="0.39370078740157477" right="0.39370078740157477" top="0.4724409448818897" bottom="0.4724409448818897" header="0.19685039370078738" footer="0.19685039370078738"/>
  <pageSetup paperSize="9" scale="84" orientation="portrait" horizontalDpi="0" verticalDpi="0"/>
  <headerFooter>
    <oddFooter>&amp;CReparto de horas docentes · &amp;A · &amp;P / 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F7F7F"/>
    <pageSetUpPr fitToPage="1"/>
  </sheetPr>
  <dimension ref="A1:M40"/>
  <sheetViews>
    <sheetView showGridLines="0" workbookViewId="0">
      <pane xSplit="1" ySplit="9" topLeftCell="B10" activePane="bottomRight" state="frozen"/>
      <selection pane="topRight"/>
      <selection pane="bottomLeft"/>
      <selection pane="bottomRight" activeCell="C28" sqref="C28"/>
    </sheetView>
  </sheetViews>
  <sheetFormatPr baseColWidth="10" defaultColWidth="8.83203125" defaultRowHeight="15" x14ac:dyDescent="0.2"/>
  <cols>
    <col min="1" max="1" width="41.6640625" customWidth="1"/>
    <col min="2" max="7" width="18" customWidth="1"/>
  </cols>
  <sheetData>
    <row r="1" spans="1:13" ht="34" customHeight="1" x14ac:dyDescent="0.25">
      <c r="A1" s="12" t="s">
        <v>24</v>
      </c>
      <c r="B1" s="1"/>
      <c r="C1" s="1"/>
      <c r="D1" s="1"/>
      <c r="E1" s="1"/>
      <c r="F1" s="1"/>
      <c r="G1" s="3" t="s">
        <v>29</v>
      </c>
      <c r="H1" s="1"/>
      <c r="I1" s="1"/>
      <c r="J1" s="1"/>
      <c r="K1" s="1"/>
      <c r="L1" s="1"/>
      <c r="M1" s="1"/>
    </row>
    <row r="2" spans="1:13" ht="22" customHeight="1" thickBot="1" x14ac:dyDescent="0.25">
      <c r="A2" s="13" t="s">
        <v>25</v>
      </c>
      <c r="B2" s="1"/>
      <c r="C2" s="2"/>
      <c r="D2" s="2"/>
      <c r="E2" s="2"/>
      <c r="F2" s="2"/>
      <c r="G2" s="2"/>
      <c r="H2" s="1"/>
      <c r="I2" s="1"/>
      <c r="J2" s="1"/>
      <c r="K2" s="1"/>
      <c r="L2" s="1"/>
      <c r="M2" s="1"/>
    </row>
    <row r="3" spans="1:13" ht="24" customHeight="1" thickBot="1" x14ac:dyDescent="0.25">
      <c r="A3" s="17" t="s">
        <v>0</v>
      </c>
      <c r="B3" s="16">
        <v>18</v>
      </c>
      <c r="C3" s="14" t="s">
        <v>26</v>
      </c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4" customHeight="1" thickBot="1" x14ac:dyDescent="0.25">
      <c r="A4" s="17" t="s">
        <v>1</v>
      </c>
      <c r="B4" s="16">
        <v>7</v>
      </c>
      <c r="C4" s="15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24" customHeight="1" thickBot="1" x14ac:dyDescent="0.25">
      <c r="A5" s="17" t="s">
        <v>2</v>
      </c>
      <c r="B5" s="16">
        <v>5</v>
      </c>
      <c r="C5" s="15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24" customHeight="1" thickBot="1" x14ac:dyDescent="0.25">
      <c r="A6" s="17" t="s">
        <v>3</v>
      </c>
      <c r="B6" s="16">
        <v>7.5</v>
      </c>
      <c r="C6" s="15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36" customHeight="1" thickBot="1" x14ac:dyDescent="0.25">
      <c r="A7" s="17" t="s">
        <v>195</v>
      </c>
      <c r="B7" s="16">
        <v>2</v>
      </c>
      <c r="C7" s="15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36" customHeight="1" x14ac:dyDescent="0.2">
      <c r="A9" s="18" t="s">
        <v>4</v>
      </c>
      <c r="B9" s="18" t="s">
        <v>5</v>
      </c>
      <c r="C9" s="18" t="s">
        <v>6</v>
      </c>
      <c r="D9" s="18" t="s">
        <v>7</v>
      </c>
      <c r="E9" s="18" t="s">
        <v>8</v>
      </c>
      <c r="F9" s="18" t="s">
        <v>9</v>
      </c>
      <c r="G9" s="18" t="s">
        <v>10</v>
      </c>
      <c r="H9" s="1"/>
      <c r="I9" s="1"/>
      <c r="J9" s="1"/>
      <c r="K9" s="1"/>
      <c r="L9" s="1"/>
      <c r="M9" s="1"/>
    </row>
    <row r="10" spans="1:13" ht="24" customHeight="1" x14ac:dyDescent="0.2">
      <c r="A10" s="67">
        <v>20</v>
      </c>
      <c r="B10" s="68">
        <f t="shared" ref="B10:B28" si="0">IF(A10&gt;$B$3,($B$4-$B$7*(A10-$B$3))/24,ROUND($B$4*60*A10/$B$3,0)/1440)</f>
        <v>0.125</v>
      </c>
      <c r="C10" s="68">
        <f t="shared" ref="C10:C28" si="1">IF(A10&gt;$B$3,$B$5/24,ROUND($B$5*60*A10/$B$3,0)/1440)</f>
        <v>0.20833333333333334</v>
      </c>
      <c r="D10" s="68">
        <f t="shared" ref="D10:D28" si="2">IF(A10&gt;$B$3,$B$6/24,ROUND($B$6*60*A10/$B$3,0)/1440)</f>
        <v>0.3125</v>
      </c>
      <c r="E10" s="69">
        <f t="shared" ref="E10:E28" si="3">A10/24+B10</f>
        <v>0.95833333333333337</v>
      </c>
      <c r="F10" s="69">
        <f t="shared" ref="F10:F28" si="4">A10/24+B10+C10+D10</f>
        <v>1.4791666666666667</v>
      </c>
      <c r="G10" s="70">
        <f t="shared" ref="G10:G28" si="5">MIN(A10/$B$3,1)</f>
        <v>1</v>
      </c>
      <c r="H10" s="1"/>
      <c r="I10" s="1"/>
      <c r="J10" s="1"/>
      <c r="K10" s="1"/>
      <c r="L10" s="1"/>
      <c r="M10" s="1"/>
    </row>
    <row r="11" spans="1:13" ht="24" customHeight="1" x14ac:dyDescent="0.2">
      <c r="A11" s="71">
        <v>19</v>
      </c>
      <c r="B11" s="72">
        <f t="shared" si="0"/>
        <v>0.20833333333333334</v>
      </c>
      <c r="C11" s="72">
        <f t="shared" si="1"/>
        <v>0.20833333333333334</v>
      </c>
      <c r="D11" s="72">
        <f t="shared" si="2"/>
        <v>0.3125</v>
      </c>
      <c r="E11" s="73">
        <f t="shared" si="3"/>
        <v>1</v>
      </c>
      <c r="F11" s="73">
        <f t="shared" si="4"/>
        <v>1.5208333333333333</v>
      </c>
      <c r="G11" s="74">
        <f t="shared" si="5"/>
        <v>1</v>
      </c>
      <c r="H11" s="1"/>
      <c r="I11" s="1"/>
      <c r="J11" s="1"/>
      <c r="K11" s="1"/>
      <c r="L11" s="1"/>
      <c r="M11" s="1"/>
    </row>
    <row r="12" spans="1:13" ht="24" customHeight="1" x14ac:dyDescent="0.2">
      <c r="A12" s="19">
        <v>18</v>
      </c>
      <c r="B12" s="20">
        <f t="shared" si="0"/>
        <v>0.29166666666666669</v>
      </c>
      <c r="C12" s="20">
        <f t="shared" si="1"/>
        <v>0.20833333333333334</v>
      </c>
      <c r="D12" s="20">
        <f t="shared" si="2"/>
        <v>0.3125</v>
      </c>
      <c r="E12" s="20">
        <f t="shared" si="3"/>
        <v>1.0416666666666667</v>
      </c>
      <c r="F12" s="20">
        <f t="shared" si="4"/>
        <v>1.5625</v>
      </c>
      <c r="G12" s="21">
        <f t="shared" si="5"/>
        <v>1</v>
      </c>
      <c r="H12" s="1"/>
      <c r="I12" s="1"/>
      <c r="J12" s="1"/>
      <c r="K12" s="1"/>
      <c r="L12" s="1"/>
      <c r="M12" s="1"/>
    </row>
    <row r="13" spans="1:13" ht="24" customHeight="1" x14ac:dyDescent="0.2">
      <c r="A13" s="22">
        <v>17</v>
      </c>
      <c r="B13" s="23">
        <f t="shared" si="0"/>
        <v>0.27569444444444446</v>
      </c>
      <c r="C13" s="23">
        <f t="shared" si="1"/>
        <v>0.19652777777777777</v>
      </c>
      <c r="D13" s="23">
        <f t="shared" si="2"/>
        <v>0.2951388888888889</v>
      </c>
      <c r="E13" s="24">
        <f t="shared" si="3"/>
        <v>0.98402777777777783</v>
      </c>
      <c r="F13" s="24">
        <f t="shared" si="4"/>
        <v>1.4756944444444444</v>
      </c>
      <c r="G13" s="25">
        <f t="shared" si="5"/>
        <v>0.94444444444444442</v>
      </c>
      <c r="H13" s="1"/>
      <c r="I13" s="1"/>
      <c r="J13" s="1"/>
      <c r="K13" s="1"/>
      <c r="L13" s="1"/>
      <c r="M13" s="1"/>
    </row>
    <row r="14" spans="1:13" ht="24" customHeight="1" x14ac:dyDescent="0.2">
      <c r="A14" s="22">
        <v>16</v>
      </c>
      <c r="B14" s="23">
        <f t="shared" si="0"/>
        <v>0.2590277777777778</v>
      </c>
      <c r="C14" s="23">
        <f t="shared" si="1"/>
        <v>0.18541666666666667</v>
      </c>
      <c r="D14" s="23">
        <f t="shared" si="2"/>
        <v>0.27777777777777779</v>
      </c>
      <c r="E14" s="24">
        <f t="shared" si="3"/>
        <v>0.92569444444444438</v>
      </c>
      <c r="F14" s="24">
        <f t="shared" si="4"/>
        <v>1.3888888888888888</v>
      </c>
      <c r="G14" s="25">
        <f t="shared" si="5"/>
        <v>0.88888888888888884</v>
      </c>
      <c r="H14" s="1"/>
      <c r="I14" s="1"/>
      <c r="J14" s="1"/>
      <c r="K14" s="1"/>
      <c r="L14" s="1"/>
      <c r="M14" s="1"/>
    </row>
    <row r="15" spans="1:13" ht="24" customHeight="1" x14ac:dyDescent="0.2">
      <c r="A15" s="22">
        <v>15</v>
      </c>
      <c r="B15" s="23">
        <f t="shared" si="0"/>
        <v>0.24305555555555555</v>
      </c>
      <c r="C15" s="23">
        <f t="shared" si="1"/>
        <v>0.1736111111111111</v>
      </c>
      <c r="D15" s="23">
        <f t="shared" si="2"/>
        <v>0.26041666666666669</v>
      </c>
      <c r="E15" s="24">
        <f t="shared" si="3"/>
        <v>0.86805555555555558</v>
      </c>
      <c r="F15" s="24">
        <f t="shared" si="4"/>
        <v>1.3020833333333335</v>
      </c>
      <c r="G15" s="25">
        <f t="shared" si="5"/>
        <v>0.83333333333333337</v>
      </c>
      <c r="H15" s="1"/>
      <c r="I15" s="1"/>
      <c r="J15" s="1"/>
      <c r="K15" s="1"/>
      <c r="L15" s="1"/>
      <c r="M15" s="1"/>
    </row>
    <row r="16" spans="1:13" ht="24" customHeight="1" x14ac:dyDescent="0.2">
      <c r="A16" s="22">
        <v>14</v>
      </c>
      <c r="B16" s="23">
        <f t="shared" si="0"/>
        <v>0.22708333333333333</v>
      </c>
      <c r="C16" s="23">
        <f t="shared" si="1"/>
        <v>0.16180555555555556</v>
      </c>
      <c r="D16" s="23">
        <f t="shared" si="2"/>
        <v>0.24305555555555555</v>
      </c>
      <c r="E16" s="24">
        <f t="shared" si="3"/>
        <v>0.81041666666666667</v>
      </c>
      <c r="F16" s="24">
        <f t="shared" si="4"/>
        <v>1.2152777777777777</v>
      </c>
      <c r="G16" s="25">
        <f t="shared" si="5"/>
        <v>0.77777777777777779</v>
      </c>
      <c r="H16" s="1"/>
      <c r="I16" s="1"/>
      <c r="J16" s="1"/>
      <c r="K16" s="1"/>
      <c r="L16" s="1"/>
      <c r="M16" s="1"/>
    </row>
    <row r="17" spans="1:13" ht="24" customHeight="1" x14ac:dyDescent="0.2">
      <c r="A17" s="22">
        <v>13</v>
      </c>
      <c r="B17" s="23">
        <f t="shared" si="0"/>
        <v>0.21041666666666667</v>
      </c>
      <c r="C17" s="23">
        <f t="shared" si="1"/>
        <v>0.15069444444444444</v>
      </c>
      <c r="D17" s="23">
        <f t="shared" si="2"/>
        <v>0.22569444444444445</v>
      </c>
      <c r="E17" s="24">
        <f t="shared" si="3"/>
        <v>0.75208333333333333</v>
      </c>
      <c r="F17" s="24">
        <f t="shared" si="4"/>
        <v>1.1284722222222223</v>
      </c>
      <c r="G17" s="25">
        <f t="shared" si="5"/>
        <v>0.72222222222222221</v>
      </c>
      <c r="H17" s="1"/>
      <c r="I17" s="1"/>
      <c r="J17" s="1"/>
      <c r="K17" s="1"/>
      <c r="L17" s="1"/>
      <c r="M17" s="1"/>
    </row>
    <row r="18" spans="1:13" ht="24" customHeight="1" x14ac:dyDescent="0.2">
      <c r="A18" s="22">
        <v>12</v>
      </c>
      <c r="B18" s="23">
        <f t="shared" si="0"/>
        <v>0.19444444444444445</v>
      </c>
      <c r="C18" s="23">
        <f t="shared" si="1"/>
        <v>0.1388888888888889</v>
      </c>
      <c r="D18" s="23">
        <f t="shared" si="2"/>
        <v>0.20833333333333334</v>
      </c>
      <c r="E18" s="24">
        <f t="shared" si="3"/>
        <v>0.69444444444444442</v>
      </c>
      <c r="F18" s="24">
        <f t="shared" si="4"/>
        <v>1.0416666666666665</v>
      </c>
      <c r="G18" s="25">
        <f t="shared" si="5"/>
        <v>0.66666666666666663</v>
      </c>
      <c r="H18" s="1"/>
      <c r="I18" s="1"/>
      <c r="J18" s="1"/>
      <c r="K18" s="1"/>
      <c r="L18" s="1"/>
      <c r="M18" s="1"/>
    </row>
    <row r="19" spans="1:13" ht="24" customHeight="1" x14ac:dyDescent="0.2">
      <c r="A19" s="22">
        <v>11</v>
      </c>
      <c r="B19" s="23">
        <f t="shared" si="0"/>
        <v>0.17847222222222223</v>
      </c>
      <c r="C19" s="23">
        <f t="shared" si="1"/>
        <v>0.12708333333333333</v>
      </c>
      <c r="D19" s="23">
        <f t="shared" si="2"/>
        <v>0.19097222222222221</v>
      </c>
      <c r="E19" s="24">
        <f t="shared" si="3"/>
        <v>0.63680555555555551</v>
      </c>
      <c r="F19" s="24">
        <f t="shared" si="4"/>
        <v>0.95486111111111105</v>
      </c>
      <c r="G19" s="25">
        <f t="shared" si="5"/>
        <v>0.61111111111111116</v>
      </c>
      <c r="H19" s="1"/>
      <c r="I19" s="1"/>
      <c r="J19" s="1"/>
      <c r="K19" s="1"/>
      <c r="L19" s="1"/>
      <c r="M19" s="1"/>
    </row>
    <row r="20" spans="1:13" ht="24" customHeight="1" x14ac:dyDescent="0.2">
      <c r="A20" s="22">
        <v>10</v>
      </c>
      <c r="B20" s="23">
        <f t="shared" si="0"/>
        <v>0.16180555555555556</v>
      </c>
      <c r="C20" s="23">
        <f t="shared" si="1"/>
        <v>0.11597222222222223</v>
      </c>
      <c r="D20" s="23">
        <f t="shared" si="2"/>
        <v>0.1736111111111111</v>
      </c>
      <c r="E20" s="24">
        <f t="shared" si="3"/>
        <v>0.57847222222222228</v>
      </c>
      <c r="F20" s="24">
        <f t="shared" si="4"/>
        <v>0.86805555555555558</v>
      </c>
      <c r="G20" s="25">
        <f t="shared" si="5"/>
        <v>0.55555555555555558</v>
      </c>
      <c r="H20" s="1"/>
      <c r="I20" s="1"/>
      <c r="J20" s="1"/>
      <c r="K20" s="1"/>
      <c r="L20" s="1"/>
      <c r="M20" s="1"/>
    </row>
    <row r="21" spans="1:13" ht="24" customHeight="1" x14ac:dyDescent="0.2">
      <c r="A21" s="22">
        <v>9</v>
      </c>
      <c r="B21" s="23">
        <f t="shared" si="0"/>
        <v>0.14583333333333334</v>
      </c>
      <c r="C21" s="23">
        <f t="shared" si="1"/>
        <v>0.10416666666666667</v>
      </c>
      <c r="D21" s="23">
        <f t="shared" si="2"/>
        <v>0.15625</v>
      </c>
      <c r="E21" s="24">
        <f t="shared" si="3"/>
        <v>0.52083333333333337</v>
      </c>
      <c r="F21" s="24">
        <f t="shared" si="4"/>
        <v>0.78125</v>
      </c>
      <c r="G21" s="25">
        <f t="shared" si="5"/>
        <v>0.5</v>
      </c>
      <c r="H21" s="1"/>
      <c r="I21" s="1"/>
      <c r="J21" s="1"/>
      <c r="K21" s="1"/>
      <c r="L21" s="1"/>
      <c r="M21" s="1"/>
    </row>
    <row r="22" spans="1:13" ht="24" customHeight="1" x14ac:dyDescent="0.2">
      <c r="A22" s="22">
        <v>8</v>
      </c>
      <c r="B22" s="23">
        <f t="shared" si="0"/>
        <v>0.12986111111111112</v>
      </c>
      <c r="C22" s="23">
        <f t="shared" si="1"/>
        <v>9.2361111111111116E-2</v>
      </c>
      <c r="D22" s="23">
        <f t="shared" si="2"/>
        <v>0.1388888888888889</v>
      </c>
      <c r="E22" s="24">
        <f t="shared" si="3"/>
        <v>0.46319444444444446</v>
      </c>
      <c r="F22" s="24">
        <f t="shared" si="4"/>
        <v>0.69444444444444442</v>
      </c>
      <c r="G22" s="25">
        <f t="shared" si="5"/>
        <v>0.44444444444444442</v>
      </c>
      <c r="H22" s="1"/>
      <c r="I22" s="1"/>
      <c r="J22" s="1"/>
      <c r="K22" s="1"/>
      <c r="L22" s="1"/>
      <c r="M22" s="1"/>
    </row>
    <row r="23" spans="1:13" ht="24" customHeight="1" x14ac:dyDescent="0.2">
      <c r="A23" s="22">
        <v>7</v>
      </c>
      <c r="B23" s="23">
        <f t="shared" si="0"/>
        <v>0.11319444444444444</v>
      </c>
      <c r="C23" s="23">
        <f t="shared" si="1"/>
        <v>8.1250000000000003E-2</v>
      </c>
      <c r="D23" s="23">
        <f t="shared" si="2"/>
        <v>0.12152777777777778</v>
      </c>
      <c r="E23" s="24">
        <f t="shared" si="3"/>
        <v>0.40486111111111112</v>
      </c>
      <c r="F23" s="24">
        <f t="shared" si="4"/>
        <v>0.60763888888888884</v>
      </c>
      <c r="G23" s="25">
        <f t="shared" si="5"/>
        <v>0.3888888888888889</v>
      </c>
      <c r="H23" s="1"/>
      <c r="I23" s="1"/>
      <c r="J23" s="1"/>
      <c r="K23" s="1"/>
      <c r="L23" s="1"/>
      <c r="M23" s="1"/>
    </row>
    <row r="24" spans="1:13" ht="24" customHeight="1" x14ac:dyDescent="0.2">
      <c r="A24" s="22">
        <v>6</v>
      </c>
      <c r="B24" s="23">
        <f t="shared" si="0"/>
        <v>9.7222222222222224E-2</v>
      </c>
      <c r="C24" s="23">
        <f t="shared" si="1"/>
        <v>6.9444444444444448E-2</v>
      </c>
      <c r="D24" s="23">
        <f t="shared" si="2"/>
        <v>0.10416666666666667</v>
      </c>
      <c r="E24" s="24">
        <f t="shared" si="3"/>
        <v>0.34722222222222221</v>
      </c>
      <c r="F24" s="24">
        <f t="shared" si="4"/>
        <v>0.52083333333333326</v>
      </c>
      <c r="G24" s="25">
        <f t="shared" si="5"/>
        <v>0.33333333333333331</v>
      </c>
      <c r="H24" s="1"/>
      <c r="I24" s="1"/>
      <c r="J24" s="1"/>
      <c r="K24" s="1"/>
      <c r="L24" s="1"/>
      <c r="M24" s="1"/>
    </row>
    <row r="25" spans="1:13" ht="24" customHeight="1" x14ac:dyDescent="0.2">
      <c r="A25" s="22">
        <v>5</v>
      </c>
      <c r="B25" s="23">
        <f t="shared" si="0"/>
        <v>8.1250000000000003E-2</v>
      </c>
      <c r="C25" s="23">
        <f t="shared" si="1"/>
        <v>5.7638888888888892E-2</v>
      </c>
      <c r="D25" s="23">
        <f t="shared" si="2"/>
        <v>8.6805555555555552E-2</v>
      </c>
      <c r="E25" s="24">
        <f t="shared" si="3"/>
        <v>0.28958333333333336</v>
      </c>
      <c r="F25" s="24">
        <f t="shared" si="4"/>
        <v>0.43402777777777779</v>
      </c>
      <c r="G25" s="25">
        <f t="shared" si="5"/>
        <v>0.27777777777777779</v>
      </c>
      <c r="H25" s="1"/>
      <c r="I25" s="1"/>
      <c r="J25" s="1"/>
      <c r="K25" s="1"/>
      <c r="L25" s="1"/>
      <c r="M25" s="1"/>
    </row>
    <row r="26" spans="1:13" ht="24" customHeight="1" x14ac:dyDescent="0.2">
      <c r="A26" s="22">
        <v>4</v>
      </c>
      <c r="B26" s="23">
        <f t="shared" si="0"/>
        <v>6.458333333333334E-2</v>
      </c>
      <c r="C26" s="23">
        <f t="shared" si="1"/>
        <v>4.6527777777777779E-2</v>
      </c>
      <c r="D26" s="23">
        <f t="shared" si="2"/>
        <v>6.9444444444444448E-2</v>
      </c>
      <c r="E26" s="24">
        <f t="shared" si="3"/>
        <v>0.23125000000000001</v>
      </c>
      <c r="F26" s="24">
        <f t="shared" si="4"/>
        <v>0.34722222222222221</v>
      </c>
      <c r="G26" s="25">
        <f t="shared" si="5"/>
        <v>0.22222222222222221</v>
      </c>
      <c r="H26" s="1"/>
      <c r="I26" s="1"/>
      <c r="J26" s="1"/>
      <c r="K26" s="1"/>
      <c r="L26" s="1"/>
      <c r="M26" s="1"/>
    </row>
    <row r="27" spans="1:13" ht="24" customHeight="1" x14ac:dyDescent="0.2">
      <c r="A27" s="22">
        <v>3</v>
      </c>
      <c r="B27" s="23">
        <f t="shared" si="0"/>
        <v>4.8611111111111112E-2</v>
      </c>
      <c r="C27" s="23">
        <f t="shared" si="1"/>
        <v>3.4722222222222224E-2</v>
      </c>
      <c r="D27" s="23">
        <f t="shared" si="2"/>
        <v>5.2083333333333336E-2</v>
      </c>
      <c r="E27" s="24">
        <f t="shared" si="3"/>
        <v>0.1736111111111111</v>
      </c>
      <c r="F27" s="24">
        <f t="shared" si="4"/>
        <v>0.26041666666666663</v>
      </c>
      <c r="G27" s="25">
        <f t="shared" si="5"/>
        <v>0.16666666666666666</v>
      </c>
      <c r="H27" s="1"/>
      <c r="I27" s="1"/>
      <c r="J27" s="1"/>
      <c r="K27" s="1"/>
      <c r="L27" s="1"/>
      <c r="M27" s="1"/>
    </row>
    <row r="28" spans="1:13" ht="24" customHeight="1" x14ac:dyDescent="0.2">
      <c r="A28" s="26">
        <v>2</v>
      </c>
      <c r="B28" s="27">
        <f t="shared" si="0"/>
        <v>3.2638888888888891E-2</v>
      </c>
      <c r="C28" s="27">
        <f t="shared" si="1"/>
        <v>2.2916666666666665E-2</v>
      </c>
      <c r="D28" s="27">
        <f t="shared" si="2"/>
        <v>3.4722222222222224E-2</v>
      </c>
      <c r="E28" s="28">
        <f t="shared" si="3"/>
        <v>0.11597222222222223</v>
      </c>
      <c r="F28" s="28">
        <f t="shared" si="4"/>
        <v>0.1736111111111111</v>
      </c>
      <c r="G28" s="29">
        <f t="shared" si="5"/>
        <v>0.1111111111111111</v>
      </c>
      <c r="H28" s="1"/>
      <c r="I28" s="1"/>
      <c r="J28" s="1"/>
      <c r="K28" s="1"/>
      <c r="L28" s="1"/>
      <c r="M28" s="1"/>
    </row>
    <row r="29" spans="1:13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x14ac:dyDescent="0.2">
      <c r="A30" s="30" t="s">
        <v>27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ht="18" customHeight="1" x14ac:dyDescent="0.2">
      <c r="A31" s="7" t="s">
        <v>11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ht="18" customHeight="1" x14ac:dyDescent="0.2">
      <c r="A32" s="7" t="s">
        <v>122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ht="18" customHeight="1" x14ac:dyDescent="0.2">
      <c r="A33" s="7" t="s">
        <v>123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ht="18" customHeight="1" x14ac:dyDescent="0.2">
      <c r="A34" s="7" t="s">
        <v>28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ht="18" customHeight="1" x14ac:dyDescent="0.2">
      <c r="A35" s="7" t="s">
        <v>12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</sheetData>
  <dataValidations count="1">
    <dataValidation type="whole" allowBlank="1" showInputMessage="1" showErrorMessage="1" sqref="B7" xr:uid="{B3093ECC-34E0-204E-BFF4-5CB287B76C70}">
      <formula1>0</formula1>
      <formula2>2</formula2>
    </dataValidation>
  </dataValidations>
  <hyperlinks>
    <hyperlink ref="G1" location="'Portada'!A1" display="← Portada" xr:uid="{18AFAC96-1678-D04F-A466-0333A166FE3C}"/>
  </hyperlinks>
  <printOptions horizontalCentered="1"/>
  <pageMargins left="0.39370078740157477" right="0.39370078740157477" top="0.4724409448818897" bottom="0.4724409448818897" header="0.19685039370078738" footer="0.19685039370078738"/>
  <pageSetup paperSize="9" scale="67" orientation="landscape" horizontalDpi="0" verticalDpi="0"/>
  <headerFooter>
    <oddFooter>&amp;CReparto de horas docentes · &amp;A · &amp;P / 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F7F7F"/>
    <pageSetUpPr fitToPage="1"/>
  </sheetPr>
  <dimension ref="A1:Q40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I11" sqref="I11"/>
    </sheetView>
  </sheetViews>
  <sheetFormatPr baseColWidth="10" defaultColWidth="8.83203125" defaultRowHeight="15" x14ac:dyDescent="0.2"/>
  <cols>
    <col min="1" max="1" width="11" customWidth="1"/>
    <col min="2" max="8" width="13.33203125" customWidth="1"/>
    <col min="9" max="10" width="17.6640625" customWidth="1"/>
    <col min="11" max="12" width="15.33203125" customWidth="1"/>
    <col min="13" max="13" width="16.33203125" customWidth="1"/>
    <col min="14" max="16" width="15.33203125" customWidth="1"/>
  </cols>
  <sheetData>
    <row r="1" spans="1:17" ht="34" customHeight="1" x14ac:dyDescent="0.25">
      <c r="A1" s="12" t="s">
        <v>13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3" t="s">
        <v>29</v>
      </c>
      <c r="Q1" s="1"/>
    </row>
    <row r="2" spans="1:17" ht="34" customHeight="1" thickBot="1" x14ac:dyDescent="0.25">
      <c r="A2" s="194" t="s">
        <v>129</v>
      </c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"/>
    </row>
    <row r="3" spans="1:17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36" customHeight="1" x14ac:dyDescent="0.2">
      <c r="A4" s="195" t="s">
        <v>130</v>
      </c>
      <c r="B4" s="196"/>
      <c r="C4" s="196"/>
      <c r="D4" s="196"/>
      <c r="E4" s="196"/>
      <c r="F4" s="196"/>
      <c r="G4" s="196"/>
      <c r="H4" s="196"/>
      <c r="I4" s="196"/>
      <c r="J4" s="196"/>
      <c r="K4" s="196"/>
      <c r="L4" s="196"/>
      <c r="M4" s="196"/>
      <c r="N4" s="196"/>
      <c r="O4" s="196"/>
      <c r="P4" s="196"/>
      <c r="Q4" s="1"/>
    </row>
    <row r="5" spans="1:17" x14ac:dyDescent="0.2">
      <c r="A5" s="1"/>
      <c r="B5" s="151" t="s">
        <v>128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46" customHeight="1" x14ac:dyDescent="0.2">
      <c r="A6" s="18" t="s">
        <v>14</v>
      </c>
      <c r="B6" s="18" t="s">
        <v>15</v>
      </c>
      <c r="C6" s="18" t="s">
        <v>120</v>
      </c>
      <c r="D6" s="18" t="s">
        <v>16</v>
      </c>
      <c r="E6" s="31" t="s">
        <v>17</v>
      </c>
      <c r="F6" s="150" t="s">
        <v>125</v>
      </c>
      <c r="G6" s="150" t="s">
        <v>126</v>
      </c>
      <c r="H6" s="150" t="s">
        <v>127</v>
      </c>
      <c r="I6" s="18" t="s">
        <v>18</v>
      </c>
      <c r="J6" s="18" t="s">
        <v>19</v>
      </c>
      <c r="K6" s="18" t="s">
        <v>20</v>
      </c>
      <c r="L6" s="31" t="s">
        <v>21</v>
      </c>
      <c r="M6" s="18" t="s">
        <v>22</v>
      </c>
      <c r="N6" s="18" t="s">
        <v>23</v>
      </c>
      <c r="O6" s="18" t="s">
        <v>8</v>
      </c>
      <c r="P6" s="18" t="s">
        <v>9</v>
      </c>
      <c r="Q6" s="1"/>
    </row>
    <row r="7" spans="1:17" ht="24" customHeight="1" x14ac:dyDescent="0.2">
      <c r="A7" s="67">
        <f>'Reparto proporcional'!A10</f>
        <v>20</v>
      </c>
      <c r="B7" s="32">
        <f>IF(ROUND(J7*24,0)&gt;=7,1,0)</f>
        <v>0</v>
      </c>
      <c r="C7" s="32">
        <f>IF(ROUND(J7*24,0)&gt;=4,2,1)</f>
        <v>1</v>
      </c>
      <c r="D7" s="32">
        <f>1</f>
        <v>1</v>
      </c>
      <c r="E7" s="32">
        <f>ROUND(J7*24,0)-B7-C7-D7-SUM(F7:H7)</f>
        <v>1</v>
      </c>
      <c r="F7" s="152">
        <v>0</v>
      </c>
      <c r="G7" s="152">
        <v>0</v>
      </c>
      <c r="H7" s="152">
        <v>0</v>
      </c>
      <c r="I7" s="33">
        <f t="shared" ref="I7:I25" si="0">ROUND(J7*24,0)</f>
        <v>3</v>
      </c>
      <c r="J7" s="68">
        <f>'Reparto proporcional'!B10</f>
        <v>0.125</v>
      </c>
      <c r="K7" s="34">
        <f t="shared" ref="K7:K25" si="1">ROUND((I7/24-J7)*1440,0)</f>
        <v>0</v>
      </c>
      <c r="L7" s="81" t="str">
        <f t="shared" ref="L7:L25" si="2">IF(SUM(B7:H7)&lt;&gt;I7,"Revisar desglose",IF(ABS(I7/24-J7)&lt;=1/48+1/86400,"OK","Revisar"))</f>
        <v>OK</v>
      </c>
      <c r="M7" s="35">
        <f>'Reparto proporcional'!C10-(I7/24-J7)</f>
        <v>0.20833333333333334</v>
      </c>
      <c r="N7" s="68">
        <f>'Reparto proporcional'!D10</f>
        <v>0.3125</v>
      </c>
      <c r="O7" s="36">
        <f t="shared" ref="O7:O25" si="3">A7/24+I7/24</f>
        <v>0.95833333333333337</v>
      </c>
      <c r="P7" s="36">
        <f t="shared" ref="P7:P25" si="4">A7/24+I7/24+M7+N7</f>
        <v>1.4791666666666667</v>
      </c>
      <c r="Q7" s="1"/>
    </row>
    <row r="8" spans="1:17" ht="24" customHeight="1" x14ac:dyDescent="0.2">
      <c r="A8" s="71">
        <f>'Reparto proporcional'!A11</f>
        <v>19</v>
      </c>
      <c r="B8" s="37">
        <f>IF(ROUND(J8*24,0)&gt;=7,1,0)</f>
        <v>0</v>
      </c>
      <c r="C8" s="37">
        <f>IF(ROUND(J8*24,0)&gt;=4,2,1)</f>
        <v>2</v>
      </c>
      <c r="D8" s="37">
        <f>1</f>
        <v>1</v>
      </c>
      <c r="E8" s="37">
        <f>ROUND(J8*24,0)-B8-C8-D8-SUM(F8:H8)</f>
        <v>2</v>
      </c>
      <c r="F8" s="152">
        <v>0</v>
      </c>
      <c r="G8" s="152">
        <v>0</v>
      </c>
      <c r="H8" s="152">
        <v>0</v>
      </c>
      <c r="I8" s="38">
        <f t="shared" si="0"/>
        <v>5</v>
      </c>
      <c r="J8" s="72">
        <f>'Reparto proporcional'!B11</f>
        <v>0.20833333333333334</v>
      </c>
      <c r="K8" s="39">
        <f t="shared" si="1"/>
        <v>0</v>
      </c>
      <c r="L8" s="82" t="str">
        <f t="shared" si="2"/>
        <v>OK</v>
      </c>
      <c r="M8" s="40">
        <f>'Reparto proporcional'!C11-(I8/24-J8)</f>
        <v>0.20833333333333334</v>
      </c>
      <c r="N8" s="72">
        <f>'Reparto proporcional'!D11</f>
        <v>0.3125</v>
      </c>
      <c r="O8" s="41">
        <f t="shared" si="3"/>
        <v>1</v>
      </c>
      <c r="P8" s="41">
        <f t="shared" si="4"/>
        <v>1.5208333333333333</v>
      </c>
      <c r="Q8" s="1"/>
    </row>
    <row r="9" spans="1:17" ht="24" customHeight="1" x14ac:dyDescent="0.2">
      <c r="A9" s="75">
        <f>'Reparto proporcional'!A12</f>
        <v>18</v>
      </c>
      <c r="B9" s="42">
        <v>1</v>
      </c>
      <c r="C9" s="42">
        <v>2</v>
      </c>
      <c r="D9" s="42">
        <v>1</v>
      </c>
      <c r="E9" s="42">
        <v>3</v>
      </c>
      <c r="F9" s="149">
        <v>0</v>
      </c>
      <c r="G9" s="149">
        <v>0</v>
      </c>
      <c r="H9" s="149">
        <v>0</v>
      </c>
      <c r="I9" s="43">
        <f t="shared" si="0"/>
        <v>7</v>
      </c>
      <c r="J9" s="78">
        <f>'Reparto proporcional'!B12</f>
        <v>0.29166666666666669</v>
      </c>
      <c r="K9" s="44">
        <f t="shared" si="1"/>
        <v>0</v>
      </c>
      <c r="L9" s="75" t="str">
        <f t="shared" si="2"/>
        <v>OK</v>
      </c>
      <c r="M9" s="45">
        <f>'Reparto proporcional'!C12-(I9/24-J9)</f>
        <v>0.20833333333333334</v>
      </c>
      <c r="N9" s="78">
        <f>'Reparto proporcional'!D12</f>
        <v>0.3125</v>
      </c>
      <c r="O9" s="20">
        <f t="shared" si="3"/>
        <v>1.0416666666666667</v>
      </c>
      <c r="P9" s="20">
        <f t="shared" si="4"/>
        <v>1.5625</v>
      </c>
      <c r="Q9" s="1"/>
    </row>
    <row r="10" spans="1:17" ht="24" customHeight="1" x14ac:dyDescent="0.2">
      <c r="A10" s="76">
        <f>'Reparto proporcional'!A13</f>
        <v>17</v>
      </c>
      <c r="B10" s="46">
        <v>1</v>
      </c>
      <c r="C10" s="46">
        <v>2</v>
      </c>
      <c r="D10" s="46">
        <v>1</v>
      </c>
      <c r="E10" s="46">
        <v>3</v>
      </c>
      <c r="F10" s="153">
        <v>0</v>
      </c>
      <c r="G10" s="153">
        <v>0</v>
      </c>
      <c r="H10" s="153">
        <v>0</v>
      </c>
      <c r="I10" s="47">
        <f t="shared" si="0"/>
        <v>7</v>
      </c>
      <c r="J10" s="79">
        <f>'Reparto proporcional'!B13</f>
        <v>0.27569444444444446</v>
      </c>
      <c r="K10" s="48">
        <f t="shared" si="1"/>
        <v>23</v>
      </c>
      <c r="L10" s="83" t="str">
        <f t="shared" si="2"/>
        <v>OK</v>
      </c>
      <c r="M10" s="23">
        <f>'Reparto proporcional'!C13-(I10/24-J10)</f>
        <v>0.18055555555555555</v>
      </c>
      <c r="N10" s="79">
        <f>'Reparto proporcional'!D13</f>
        <v>0.2951388888888889</v>
      </c>
      <c r="O10" s="49">
        <f t="shared" si="3"/>
        <v>1</v>
      </c>
      <c r="P10" s="49">
        <f t="shared" si="4"/>
        <v>1.4756944444444444</v>
      </c>
      <c r="Q10" s="1"/>
    </row>
    <row r="11" spans="1:17" ht="24" customHeight="1" x14ac:dyDescent="0.2">
      <c r="A11" s="76">
        <f>'Reparto proporcional'!A14</f>
        <v>16</v>
      </c>
      <c r="B11" s="46">
        <v>1</v>
      </c>
      <c r="C11" s="46">
        <v>2</v>
      </c>
      <c r="D11" s="46">
        <v>1</v>
      </c>
      <c r="E11" s="46">
        <v>2</v>
      </c>
      <c r="F11" s="153">
        <v>0</v>
      </c>
      <c r="G11" s="153">
        <v>0</v>
      </c>
      <c r="H11" s="153">
        <v>0</v>
      </c>
      <c r="I11" s="47">
        <f t="shared" si="0"/>
        <v>6</v>
      </c>
      <c r="J11" s="79">
        <f>'Reparto proporcional'!B14</f>
        <v>0.2590277777777778</v>
      </c>
      <c r="K11" s="48">
        <f t="shared" si="1"/>
        <v>-13</v>
      </c>
      <c r="L11" s="83" t="str">
        <f t="shared" si="2"/>
        <v>OK</v>
      </c>
      <c r="M11" s="23">
        <f>'Reparto proporcional'!C14-(I11/24-J11)</f>
        <v>0.19444444444444448</v>
      </c>
      <c r="N11" s="79">
        <f>'Reparto proporcional'!D14</f>
        <v>0.27777777777777779</v>
      </c>
      <c r="O11" s="49">
        <f t="shared" si="3"/>
        <v>0.91666666666666663</v>
      </c>
      <c r="P11" s="49">
        <f t="shared" si="4"/>
        <v>1.3888888888888888</v>
      </c>
      <c r="Q11" s="1"/>
    </row>
    <row r="12" spans="1:17" ht="24" customHeight="1" x14ac:dyDescent="0.2">
      <c r="A12" s="76">
        <f>'Reparto proporcional'!A15</f>
        <v>15</v>
      </c>
      <c r="B12" s="46">
        <v>1</v>
      </c>
      <c r="C12" s="46">
        <v>2</v>
      </c>
      <c r="D12" s="46">
        <v>1</v>
      </c>
      <c r="E12" s="46">
        <v>2</v>
      </c>
      <c r="F12" s="153">
        <v>0</v>
      </c>
      <c r="G12" s="153">
        <v>0</v>
      </c>
      <c r="H12" s="153">
        <v>0</v>
      </c>
      <c r="I12" s="47">
        <f t="shared" si="0"/>
        <v>6</v>
      </c>
      <c r="J12" s="79">
        <f>'Reparto proporcional'!B15</f>
        <v>0.24305555555555555</v>
      </c>
      <c r="K12" s="48">
        <f t="shared" si="1"/>
        <v>10</v>
      </c>
      <c r="L12" s="83" t="str">
        <f t="shared" si="2"/>
        <v>OK</v>
      </c>
      <c r="M12" s="23">
        <f>'Reparto proporcional'!C15-(I12/24-J12)</f>
        <v>0.16666666666666666</v>
      </c>
      <c r="N12" s="79">
        <f>'Reparto proporcional'!D15</f>
        <v>0.26041666666666669</v>
      </c>
      <c r="O12" s="49">
        <f t="shared" si="3"/>
        <v>0.875</v>
      </c>
      <c r="P12" s="49">
        <f t="shared" si="4"/>
        <v>1.3020833333333335</v>
      </c>
      <c r="Q12" s="1"/>
    </row>
    <row r="13" spans="1:17" ht="24" customHeight="1" x14ac:dyDescent="0.2">
      <c r="A13" s="76">
        <f>'Reparto proporcional'!A16</f>
        <v>14</v>
      </c>
      <c r="B13" s="46">
        <v>1</v>
      </c>
      <c r="C13" s="46">
        <v>2</v>
      </c>
      <c r="D13" s="46">
        <v>1</v>
      </c>
      <c r="E13" s="46">
        <v>1</v>
      </c>
      <c r="F13" s="153">
        <v>0</v>
      </c>
      <c r="G13" s="153">
        <v>0</v>
      </c>
      <c r="H13" s="153">
        <v>0</v>
      </c>
      <c r="I13" s="47">
        <f t="shared" si="0"/>
        <v>5</v>
      </c>
      <c r="J13" s="79">
        <f>'Reparto proporcional'!B16</f>
        <v>0.22708333333333333</v>
      </c>
      <c r="K13" s="48">
        <f t="shared" si="1"/>
        <v>-27</v>
      </c>
      <c r="L13" s="83" t="str">
        <f t="shared" si="2"/>
        <v>OK</v>
      </c>
      <c r="M13" s="23">
        <f>'Reparto proporcional'!C16-(I13/24-J13)</f>
        <v>0.18055555555555555</v>
      </c>
      <c r="N13" s="79">
        <f>'Reparto proporcional'!D16</f>
        <v>0.24305555555555555</v>
      </c>
      <c r="O13" s="49">
        <f t="shared" si="3"/>
        <v>0.79166666666666674</v>
      </c>
      <c r="P13" s="49">
        <f t="shared" si="4"/>
        <v>1.2152777777777779</v>
      </c>
      <c r="Q13" s="1"/>
    </row>
    <row r="14" spans="1:17" ht="24" customHeight="1" x14ac:dyDescent="0.2">
      <c r="A14" s="76">
        <f>'Reparto proporcional'!A17</f>
        <v>13</v>
      </c>
      <c r="B14" s="46">
        <v>1</v>
      </c>
      <c r="C14" s="46">
        <v>2</v>
      </c>
      <c r="D14" s="46">
        <v>1</v>
      </c>
      <c r="E14" s="46">
        <v>1</v>
      </c>
      <c r="F14" s="153">
        <v>0</v>
      </c>
      <c r="G14" s="153">
        <v>0</v>
      </c>
      <c r="H14" s="153">
        <v>0</v>
      </c>
      <c r="I14" s="47">
        <f t="shared" si="0"/>
        <v>5</v>
      </c>
      <c r="J14" s="79">
        <f>'Reparto proporcional'!B17</f>
        <v>0.21041666666666667</v>
      </c>
      <c r="K14" s="48">
        <f t="shared" si="1"/>
        <v>-3</v>
      </c>
      <c r="L14" s="83" t="str">
        <f t="shared" si="2"/>
        <v>OK</v>
      </c>
      <c r="M14" s="23">
        <f>'Reparto proporcional'!C17-(I14/24-J14)</f>
        <v>0.15277777777777776</v>
      </c>
      <c r="N14" s="79">
        <f>'Reparto proporcional'!D17</f>
        <v>0.22569444444444445</v>
      </c>
      <c r="O14" s="49">
        <f t="shared" si="3"/>
        <v>0.75</v>
      </c>
      <c r="P14" s="49">
        <f t="shared" si="4"/>
        <v>1.1284722222222223</v>
      </c>
      <c r="Q14" s="1"/>
    </row>
    <row r="15" spans="1:17" ht="24" customHeight="1" x14ac:dyDescent="0.2">
      <c r="A15" s="76">
        <f>'Reparto proporcional'!A18</f>
        <v>12</v>
      </c>
      <c r="B15" s="46">
        <v>1</v>
      </c>
      <c r="C15" s="46">
        <v>2</v>
      </c>
      <c r="D15" s="46">
        <v>1</v>
      </c>
      <c r="E15" s="46">
        <v>1</v>
      </c>
      <c r="F15" s="153">
        <v>0</v>
      </c>
      <c r="G15" s="153">
        <v>0</v>
      </c>
      <c r="H15" s="153">
        <v>0</v>
      </c>
      <c r="I15" s="47">
        <f t="shared" si="0"/>
        <v>5</v>
      </c>
      <c r="J15" s="79">
        <f>'Reparto proporcional'!B18</f>
        <v>0.19444444444444445</v>
      </c>
      <c r="K15" s="48">
        <f t="shared" si="1"/>
        <v>20</v>
      </c>
      <c r="L15" s="83" t="str">
        <f t="shared" si="2"/>
        <v>OK</v>
      </c>
      <c r="M15" s="23">
        <f>'Reparto proporcional'!C18-(I15/24-J15)</f>
        <v>0.125</v>
      </c>
      <c r="N15" s="79">
        <f>'Reparto proporcional'!D18</f>
        <v>0.20833333333333334</v>
      </c>
      <c r="O15" s="49">
        <f t="shared" si="3"/>
        <v>0.70833333333333337</v>
      </c>
      <c r="P15" s="49">
        <f t="shared" si="4"/>
        <v>1.0416666666666667</v>
      </c>
      <c r="Q15" s="1"/>
    </row>
    <row r="16" spans="1:17" ht="24" customHeight="1" x14ac:dyDescent="0.2">
      <c r="A16" s="76">
        <f>'Reparto proporcional'!A19</f>
        <v>11</v>
      </c>
      <c r="B16" s="46">
        <v>1</v>
      </c>
      <c r="C16" s="46">
        <v>2</v>
      </c>
      <c r="D16" s="46">
        <v>1</v>
      </c>
      <c r="E16" s="46">
        <v>0</v>
      </c>
      <c r="F16" s="153">
        <v>0</v>
      </c>
      <c r="G16" s="153">
        <v>0</v>
      </c>
      <c r="H16" s="153">
        <v>0</v>
      </c>
      <c r="I16" s="47">
        <f t="shared" si="0"/>
        <v>4</v>
      </c>
      <c r="J16" s="79">
        <f>'Reparto proporcional'!B19</f>
        <v>0.17847222222222223</v>
      </c>
      <c r="K16" s="48">
        <f t="shared" si="1"/>
        <v>-17</v>
      </c>
      <c r="L16" s="83" t="str">
        <f t="shared" si="2"/>
        <v>OK</v>
      </c>
      <c r="M16" s="23">
        <f>'Reparto proporcional'!C19-(I16/24-J16)</f>
        <v>0.1388888888888889</v>
      </c>
      <c r="N16" s="79">
        <f>'Reparto proporcional'!D19</f>
        <v>0.19097222222222221</v>
      </c>
      <c r="O16" s="49">
        <f t="shared" si="3"/>
        <v>0.625</v>
      </c>
      <c r="P16" s="49">
        <f t="shared" si="4"/>
        <v>0.95486111111111105</v>
      </c>
      <c r="Q16" s="1"/>
    </row>
    <row r="17" spans="1:17" ht="24" customHeight="1" x14ac:dyDescent="0.2">
      <c r="A17" s="76">
        <f>'Reparto proporcional'!A20</f>
        <v>10</v>
      </c>
      <c r="B17" s="46">
        <v>1</v>
      </c>
      <c r="C17" s="46">
        <v>2</v>
      </c>
      <c r="D17" s="46">
        <v>1</v>
      </c>
      <c r="E17" s="46">
        <v>0</v>
      </c>
      <c r="F17" s="153">
        <v>0</v>
      </c>
      <c r="G17" s="153">
        <v>0</v>
      </c>
      <c r="H17" s="153">
        <v>0</v>
      </c>
      <c r="I17" s="47">
        <f t="shared" si="0"/>
        <v>4</v>
      </c>
      <c r="J17" s="79">
        <f>'Reparto proporcional'!B20</f>
        <v>0.16180555555555556</v>
      </c>
      <c r="K17" s="48">
        <f t="shared" si="1"/>
        <v>7</v>
      </c>
      <c r="L17" s="83" t="str">
        <f t="shared" si="2"/>
        <v>OK</v>
      </c>
      <c r="M17" s="23">
        <f>'Reparto proporcional'!C20-(I17/24-J17)</f>
        <v>0.11111111111111113</v>
      </c>
      <c r="N17" s="79">
        <f>'Reparto proporcional'!D20</f>
        <v>0.1736111111111111</v>
      </c>
      <c r="O17" s="49">
        <f t="shared" si="3"/>
        <v>0.58333333333333337</v>
      </c>
      <c r="P17" s="49">
        <f t="shared" si="4"/>
        <v>0.86805555555555558</v>
      </c>
      <c r="Q17" s="1"/>
    </row>
    <row r="18" spans="1:17" ht="24" customHeight="1" x14ac:dyDescent="0.2">
      <c r="A18" s="76">
        <f>'Reparto proporcional'!A21</f>
        <v>9</v>
      </c>
      <c r="B18" s="46">
        <v>1</v>
      </c>
      <c r="C18" s="46">
        <v>2</v>
      </c>
      <c r="D18" s="46">
        <v>1</v>
      </c>
      <c r="E18" s="46">
        <v>0</v>
      </c>
      <c r="F18" s="153">
        <v>0</v>
      </c>
      <c r="G18" s="153">
        <v>0</v>
      </c>
      <c r="H18" s="153">
        <v>0</v>
      </c>
      <c r="I18" s="47">
        <f t="shared" si="0"/>
        <v>4</v>
      </c>
      <c r="J18" s="79">
        <f>'Reparto proporcional'!B21</f>
        <v>0.14583333333333334</v>
      </c>
      <c r="K18" s="48">
        <f t="shared" si="1"/>
        <v>30</v>
      </c>
      <c r="L18" s="83" t="str">
        <f t="shared" si="2"/>
        <v>OK</v>
      </c>
      <c r="M18" s="23">
        <f>'Reparto proporcional'!C21-(I18/24-J18)</f>
        <v>8.3333333333333356E-2</v>
      </c>
      <c r="N18" s="79">
        <f>'Reparto proporcional'!D21</f>
        <v>0.15625</v>
      </c>
      <c r="O18" s="49">
        <f t="shared" si="3"/>
        <v>0.54166666666666663</v>
      </c>
      <c r="P18" s="49">
        <f t="shared" si="4"/>
        <v>0.78125</v>
      </c>
      <c r="Q18" s="1"/>
    </row>
    <row r="19" spans="1:17" ht="24" customHeight="1" x14ac:dyDescent="0.2">
      <c r="A19" s="76">
        <f>'Reparto proporcional'!A22</f>
        <v>8</v>
      </c>
      <c r="B19" s="46">
        <v>1</v>
      </c>
      <c r="C19" s="46">
        <v>1</v>
      </c>
      <c r="D19" s="46">
        <v>1</v>
      </c>
      <c r="E19" s="46">
        <v>0</v>
      </c>
      <c r="F19" s="153">
        <v>0</v>
      </c>
      <c r="G19" s="153">
        <v>0</v>
      </c>
      <c r="H19" s="153">
        <v>0</v>
      </c>
      <c r="I19" s="47">
        <f t="shared" si="0"/>
        <v>3</v>
      </c>
      <c r="J19" s="79">
        <f>'Reparto proporcional'!B22</f>
        <v>0.12986111111111112</v>
      </c>
      <c r="K19" s="48">
        <f t="shared" si="1"/>
        <v>-7</v>
      </c>
      <c r="L19" s="83" t="str">
        <f t="shared" si="2"/>
        <v>OK</v>
      </c>
      <c r="M19" s="23">
        <f>'Reparto proporcional'!C22-(I19/24-J19)</f>
        <v>9.7222222222222238E-2</v>
      </c>
      <c r="N19" s="79">
        <f>'Reparto proporcional'!D22</f>
        <v>0.1388888888888889</v>
      </c>
      <c r="O19" s="49">
        <f t="shared" si="3"/>
        <v>0.45833333333333331</v>
      </c>
      <c r="P19" s="49">
        <f t="shared" si="4"/>
        <v>0.69444444444444442</v>
      </c>
      <c r="Q19" s="1"/>
    </row>
    <row r="20" spans="1:17" ht="24" customHeight="1" x14ac:dyDescent="0.2">
      <c r="A20" s="76">
        <f>'Reparto proporcional'!A23</f>
        <v>7</v>
      </c>
      <c r="B20" s="46">
        <v>1</v>
      </c>
      <c r="C20" s="46">
        <v>1</v>
      </c>
      <c r="D20" s="46">
        <v>1</v>
      </c>
      <c r="E20" s="46">
        <v>0</v>
      </c>
      <c r="F20" s="153">
        <v>0</v>
      </c>
      <c r="G20" s="153">
        <v>0</v>
      </c>
      <c r="H20" s="153">
        <v>0</v>
      </c>
      <c r="I20" s="47">
        <f t="shared" si="0"/>
        <v>3</v>
      </c>
      <c r="J20" s="79">
        <f>'Reparto proporcional'!B23</f>
        <v>0.11319444444444444</v>
      </c>
      <c r="K20" s="48">
        <f t="shared" si="1"/>
        <v>17</v>
      </c>
      <c r="L20" s="83" t="str">
        <f t="shared" si="2"/>
        <v>OK</v>
      </c>
      <c r="M20" s="23">
        <f>'Reparto proporcional'!C23-(I20/24-J20)</f>
        <v>6.9444444444444448E-2</v>
      </c>
      <c r="N20" s="79">
        <f>'Reparto proporcional'!D23</f>
        <v>0.12152777777777778</v>
      </c>
      <c r="O20" s="49">
        <f t="shared" si="3"/>
        <v>0.41666666666666669</v>
      </c>
      <c r="P20" s="49">
        <f t="shared" si="4"/>
        <v>0.60763888888888895</v>
      </c>
      <c r="Q20" s="1"/>
    </row>
    <row r="21" spans="1:17" ht="24" customHeight="1" x14ac:dyDescent="0.2">
      <c r="A21" s="76">
        <f>'Reparto proporcional'!A24</f>
        <v>6</v>
      </c>
      <c r="B21" s="46">
        <v>0</v>
      </c>
      <c r="C21" s="46">
        <v>1</v>
      </c>
      <c r="D21" s="46">
        <v>1</v>
      </c>
      <c r="E21" s="46">
        <v>0</v>
      </c>
      <c r="F21" s="153">
        <v>0</v>
      </c>
      <c r="G21" s="153">
        <v>0</v>
      </c>
      <c r="H21" s="153">
        <v>0</v>
      </c>
      <c r="I21" s="47">
        <f t="shared" si="0"/>
        <v>2</v>
      </c>
      <c r="J21" s="79">
        <f>'Reparto proporcional'!B24</f>
        <v>9.7222222222222224E-2</v>
      </c>
      <c r="K21" s="48">
        <f t="shared" si="1"/>
        <v>-20</v>
      </c>
      <c r="L21" s="83" t="str">
        <f t="shared" si="2"/>
        <v>OK</v>
      </c>
      <c r="M21" s="23">
        <f>'Reparto proporcional'!C24-(I21/24-J21)</f>
        <v>8.3333333333333343E-2</v>
      </c>
      <c r="N21" s="79">
        <f>'Reparto proporcional'!D24</f>
        <v>0.10416666666666667</v>
      </c>
      <c r="O21" s="49">
        <f t="shared" si="3"/>
        <v>0.33333333333333331</v>
      </c>
      <c r="P21" s="49">
        <f t="shared" si="4"/>
        <v>0.52083333333333326</v>
      </c>
      <c r="Q21" s="1"/>
    </row>
    <row r="22" spans="1:17" ht="24" customHeight="1" x14ac:dyDescent="0.2">
      <c r="A22" s="76">
        <f>'Reparto proporcional'!A25</f>
        <v>5</v>
      </c>
      <c r="B22" s="46">
        <v>0</v>
      </c>
      <c r="C22" s="46">
        <v>1</v>
      </c>
      <c r="D22" s="46">
        <v>1</v>
      </c>
      <c r="E22" s="46">
        <v>0</v>
      </c>
      <c r="F22" s="153">
        <v>0</v>
      </c>
      <c r="G22" s="153">
        <v>0</v>
      </c>
      <c r="H22" s="153">
        <v>0</v>
      </c>
      <c r="I22" s="47">
        <f t="shared" si="0"/>
        <v>2</v>
      </c>
      <c r="J22" s="79">
        <f>'Reparto proporcional'!B25</f>
        <v>8.1250000000000003E-2</v>
      </c>
      <c r="K22" s="48">
        <f t="shared" si="1"/>
        <v>3</v>
      </c>
      <c r="L22" s="83" t="str">
        <f t="shared" si="2"/>
        <v>OK</v>
      </c>
      <c r="M22" s="23">
        <f>'Reparto proporcional'!C25-(I22/24-J22)</f>
        <v>5.5555555555555566E-2</v>
      </c>
      <c r="N22" s="79">
        <f>'Reparto proporcional'!D25</f>
        <v>8.6805555555555552E-2</v>
      </c>
      <c r="O22" s="49">
        <f t="shared" si="3"/>
        <v>0.29166666666666669</v>
      </c>
      <c r="P22" s="49">
        <f t="shared" si="4"/>
        <v>0.43402777777777779</v>
      </c>
      <c r="Q22" s="1"/>
    </row>
    <row r="23" spans="1:17" ht="24" customHeight="1" x14ac:dyDescent="0.2">
      <c r="A23" s="76">
        <f>'Reparto proporcional'!A26</f>
        <v>4</v>
      </c>
      <c r="B23" s="46">
        <v>0</v>
      </c>
      <c r="C23" s="46">
        <v>1</v>
      </c>
      <c r="D23" s="46">
        <v>1</v>
      </c>
      <c r="E23" s="46">
        <v>0</v>
      </c>
      <c r="F23" s="153">
        <v>0</v>
      </c>
      <c r="G23" s="153">
        <v>0</v>
      </c>
      <c r="H23" s="153">
        <v>0</v>
      </c>
      <c r="I23" s="47">
        <f t="shared" si="0"/>
        <v>2</v>
      </c>
      <c r="J23" s="79">
        <f>'Reparto proporcional'!B26</f>
        <v>6.458333333333334E-2</v>
      </c>
      <c r="K23" s="48">
        <f t="shared" si="1"/>
        <v>27</v>
      </c>
      <c r="L23" s="83" t="str">
        <f t="shared" si="2"/>
        <v>OK</v>
      </c>
      <c r="M23" s="23">
        <f>'Reparto proporcional'!C26-(I23/24-J23)</f>
        <v>2.777777777777779E-2</v>
      </c>
      <c r="N23" s="79">
        <f>'Reparto proporcional'!D26</f>
        <v>6.9444444444444448E-2</v>
      </c>
      <c r="O23" s="49">
        <f t="shared" si="3"/>
        <v>0.25</v>
      </c>
      <c r="P23" s="49">
        <f t="shared" si="4"/>
        <v>0.34722222222222221</v>
      </c>
      <c r="Q23" s="1"/>
    </row>
    <row r="24" spans="1:17" ht="24" customHeight="1" x14ac:dyDescent="0.2">
      <c r="A24" s="76">
        <f>'Reparto proporcional'!A27</f>
        <v>3</v>
      </c>
      <c r="B24" s="46">
        <v>0</v>
      </c>
      <c r="C24" s="46">
        <v>0</v>
      </c>
      <c r="D24" s="46">
        <v>1</v>
      </c>
      <c r="E24" s="46">
        <v>0</v>
      </c>
      <c r="F24" s="153">
        <v>0</v>
      </c>
      <c r="G24" s="153">
        <v>0</v>
      </c>
      <c r="H24" s="153">
        <v>0</v>
      </c>
      <c r="I24" s="47">
        <f t="shared" si="0"/>
        <v>1</v>
      </c>
      <c r="J24" s="79">
        <f>'Reparto proporcional'!B27</f>
        <v>4.8611111111111112E-2</v>
      </c>
      <c r="K24" s="48">
        <f t="shared" si="1"/>
        <v>-10</v>
      </c>
      <c r="L24" s="83" t="str">
        <f t="shared" si="2"/>
        <v>OK</v>
      </c>
      <c r="M24" s="23">
        <f>'Reparto proporcional'!C27-(I24/24-J24)</f>
        <v>4.1666666666666671E-2</v>
      </c>
      <c r="N24" s="79">
        <f>'Reparto proporcional'!D27</f>
        <v>5.2083333333333336E-2</v>
      </c>
      <c r="O24" s="49">
        <f t="shared" si="3"/>
        <v>0.16666666666666666</v>
      </c>
      <c r="P24" s="49">
        <f t="shared" si="4"/>
        <v>0.26041666666666663</v>
      </c>
      <c r="Q24" s="1"/>
    </row>
    <row r="25" spans="1:17" ht="24" customHeight="1" x14ac:dyDescent="0.2">
      <c r="A25" s="77">
        <f>'Reparto proporcional'!A28</f>
        <v>2</v>
      </c>
      <c r="B25" s="50">
        <v>0</v>
      </c>
      <c r="C25" s="50">
        <v>0</v>
      </c>
      <c r="D25" s="50">
        <v>1</v>
      </c>
      <c r="E25" s="50">
        <v>0</v>
      </c>
      <c r="F25" s="154">
        <v>0</v>
      </c>
      <c r="G25" s="154">
        <v>0</v>
      </c>
      <c r="H25" s="154">
        <v>0</v>
      </c>
      <c r="I25" s="51">
        <f t="shared" si="0"/>
        <v>1</v>
      </c>
      <c r="J25" s="80">
        <f>'Reparto proporcional'!B28</f>
        <v>3.2638888888888891E-2</v>
      </c>
      <c r="K25" s="52">
        <f t="shared" si="1"/>
        <v>13</v>
      </c>
      <c r="L25" s="84" t="str">
        <f t="shared" si="2"/>
        <v>OK</v>
      </c>
      <c r="M25" s="27">
        <f>'Reparto proporcional'!C28-(I25/24-J25)</f>
        <v>1.3888888888888892E-2</v>
      </c>
      <c r="N25" s="80">
        <f>'Reparto proporcional'!D28</f>
        <v>3.4722222222222224E-2</v>
      </c>
      <c r="O25" s="53">
        <f t="shared" si="3"/>
        <v>0.125</v>
      </c>
      <c r="P25" s="53">
        <f t="shared" si="4"/>
        <v>0.1736111111111111</v>
      </c>
      <c r="Q25" s="1"/>
    </row>
    <row r="26" spans="1:17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x14ac:dyDescent="0.2">
      <c r="A27" s="30" t="s">
        <v>27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ht="18" customHeight="1" x14ac:dyDescent="0.2">
      <c r="A28" s="7" t="s">
        <v>131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18" customHeight="1" x14ac:dyDescent="0.2">
      <c r="A29" s="7" t="s">
        <v>132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18" customHeight="1" x14ac:dyDescent="0.2">
      <c r="A30" s="7" t="s">
        <v>133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18" customHeight="1" x14ac:dyDescent="0.2">
      <c r="A31" s="7" t="s">
        <v>134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18" customHeight="1" x14ac:dyDescent="0.2">
      <c r="A32" s="7" t="s">
        <v>135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ht="18" customHeight="1" x14ac:dyDescent="0.2">
      <c r="A33" s="7" t="s">
        <v>136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</sheetData>
  <mergeCells count="2">
    <mergeCell ref="A2:P2"/>
    <mergeCell ref="A4:P4"/>
  </mergeCells>
  <conditionalFormatting sqref="L7:L25">
    <cfRule type="containsText" dxfId="3" priority="1" operator="containsText" text="Revisar">
      <formula>NOT(ISERROR(SEARCH("Revisar",L7)))</formula>
    </cfRule>
  </conditionalFormatting>
  <hyperlinks>
    <hyperlink ref="P1" location="'Portada'!A1" display="← Portada" xr:uid="{40498BC3-58F3-DF45-B8C3-5B725BD2E2E5}"/>
  </hyperlinks>
  <printOptions horizontalCentered="1"/>
  <pageMargins left="0.39370078740157477" right="0.39370078740157477" top="0.4724409448818897" bottom="0.4724409448818897" header="0.19685039370078738" footer="0.19685039370078738"/>
  <pageSetup paperSize="9" scale="55" orientation="landscape" horizontalDpi="0" verticalDpi="0"/>
  <headerFooter>
    <oddFooter>&amp;CReparto de horas docentes · &amp;A · &amp;P / 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EA18A-53E9-7949-9DF2-C0F0B7F6F9E0}">
  <sheetPr>
    <tabColor rgb="FF7F7F7F"/>
    <pageSetUpPr fitToPage="1"/>
  </sheetPr>
  <dimension ref="A1:I40"/>
  <sheetViews>
    <sheetView showGridLines="0" topLeftCell="A6" workbookViewId="0"/>
  </sheetViews>
  <sheetFormatPr baseColWidth="10" defaultRowHeight="15" x14ac:dyDescent="0.2"/>
  <cols>
    <col min="1" max="1" width="15" customWidth="1"/>
    <col min="2" max="8" width="19.6640625" customWidth="1"/>
  </cols>
  <sheetData>
    <row r="1" spans="1:9" ht="34" customHeight="1" x14ac:dyDescent="0.25">
      <c r="A1" s="12" t="s">
        <v>51</v>
      </c>
      <c r="B1" s="6"/>
      <c r="C1" s="6"/>
      <c r="D1" s="6"/>
      <c r="E1" s="6"/>
      <c r="F1" s="6"/>
      <c r="G1" s="6"/>
      <c r="H1" s="87" t="s">
        <v>29</v>
      </c>
      <c r="I1" s="6"/>
    </row>
    <row r="2" spans="1:9" ht="24" customHeight="1" thickBot="1" x14ac:dyDescent="0.25">
      <c r="A2" s="85" t="s">
        <v>52</v>
      </c>
      <c r="B2" s="86"/>
      <c r="C2" s="86"/>
      <c r="D2" s="86"/>
      <c r="E2" s="86"/>
      <c r="F2" s="86"/>
      <c r="G2" s="86"/>
      <c r="H2" s="86"/>
      <c r="I2" s="6"/>
    </row>
    <row r="3" spans="1:9" x14ac:dyDescent="0.2">
      <c r="A3" s="6"/>
      <c r="B3" s="6"/>
      <c r="C3" s="6"/>
      <c r="D3" s="6"/>
      <c r="E3" s="6"/>
      <c r="F3" s="6"/>
      <c r="G3" s="6"/>
      <c r="H3" s="6"/>
      <c r="I3" s="6"/>
    </row>
    <row r="4" spans="1:9" ht="36" customHeight="1" x14ac:dyDescent="0.2">
      <c r="A4" s="88" t="s">
        <v>14</v>
      </c>
      <c r="B4" s="89">
        <v>18</v>
      </c>
      <c r="C4" s="90" t="s">
        <v>53</v>
      </c>
      <c r="D4" s="6"/>
      <c r="E4" s="6"/>
      <c r="F4" s="6"/>
      <c r="G4" s="6"/>
      <c r="H4" s="6"/>
      <c r="I4" s="6"/>
    </row>
    <row r="5" spans="1:9" x14ac:dyDescent="0.2">
      <c r="A5" s="6"/>
      <c r="B5" s="6"/>
      <c r="C5" s="6"/>
      <c r="D5" s="6"/>
      <c r="E5" s="6"/>
      <c r="F5" s="6"/>
      <c r="G5" s="6"/>
      <c r="H5" s="6"/>
      <c r="I5" s="6"/>
    </row>
    <row r="6" spans="1:9" ht="28" customHeight="1" x14ac:dyDescent="0.2">
      <c r="A6" s="91"/>
      <c r="B6" s="91" t="s">
        <v>54</v>
      </c>
      <c r="C6" s="91" t="s">
        <v>55</v>
      </c>
      <c r="D6" s="91" t="s">
        <v>56</v>
      </c>
      <c r="E6" s="91" t="s">
        <v>57</v>
      </c>
      <c r="F6" s="6"/>
      <c r="G6" s="6"/>
      <c r="H6" s="6"/>
      <c r="I6" s="6"/>
    </row>
    <row r="7" spans="1:9" ht="42" customHeight="1" x14ac:dyDescent="0.2">
      <c r="A7" s="92" t="s">
        <v>8</v>
      </c>
      <c r="B7" s="93">
        <f>INDEX($B$12:$B$30,MATCH($B$4,$A$12:$A$30,0))</f>
        <v>1.0416666666666667</v>
      </c>
      <c r="C7" s="93">
        <f>INDEX($C$12:$C$30,MATCH($B$4,$A$12:$A$30,0))</f>
        <v>1.0416666666666667</v>
      </c>
      <c r="D7" s="94">
        <f>INDEX($D$12:$D$30,MATCH($B$4,$A$12:$A$30,0))</f>
        <v>0</v>
      </c>
      <c r="E7" s="95" t="str">
        <f>IF(D7=0,"Coincide","Ajuste en bloques")</f>
        <v>Coincide</v>
      </c>
      <c r="F7" s="6"/>
      <c r="G7" s="6"/>
      <c r="H7" s="6"/>
      <c r="I7" s="6"/>
    </row>
    <row r="8" spans="1:9" ht="42" customHeight="1" x14ac:dyDescent="0.2">
      <c r="A8" s="96" t="s">
        <v>9</v>
      </c>
      <c r="B8" s="97">
        <f>INDEX($E$12:$E$30,MATCH($B$4,$A$12:$A$30,0))</f>
        <v>1.5625</v>
      </c>
      <c r="C8" s="97">
        <f>INDEX($F$12:$F$30,MATCH($B$4,$A$12:$A$30,0))</f>
        <v>1.5625</v>
      </c>
      <c r="D8" s="98">
        <f>INDEX($G$12:$G$30,MATCH($B$4,$A$12:$A$30,0))</f>
        <v>0</v>
      </c>
      <c r="E8" s="99" t="str">
        <f>INDEX($H$12:$H$30,MATCH($B$4,$A$12:$A$30,0))</f>
        <v>OK</v>
      </c>
      <c r="F8" s="6"/>
      <c r="G8" s="6"/>
      <c r="H8" s="6"/>
      <c r="I8" s="6"/>
    </row>
    <row r="9" spans="1:9" x14ac:dyDescent="0.2">
      <c r="A9" s="6"/>
      <c r="B9" s="6"/>
      <c r="C9" s="6"/>
      <c r="D9" s="6"/>
      <c r="E9" s="6"/>
      <c r="F9" s="6"/>
      <c r="G9" s="6"/>
      <c r="H9" s="6"/>
      <c r="I9" s="6"/>
    </row>
    <row r="10" spans="1:9" x14ac:dyDescent="0.2">
      <c r="A10" s="30" t="s">
        <v>58</v>
      </c>
      <c r="B10" s="6"/>
      <c r="C10" s="6"/>
      <c r="D10" s="6"/>
      <c r="E10" s="6"/>
      <c r="F10" s="6"/>
      <c r="G10" s="6"/>
      <c r="H10" s="6"/>
      <c r="I10" s="6"/>
    </row>
    <row r="11" spans="1:9" ht="40" customHeight="1" x14ac:dyDescent="0.2">
      <c r="A11" s="18" t="s">
        <v>14</v>
      </c>
      <c r="B11" s="18" t="s">
        <v>59</v>
      </c>
      <c r="C11" s="18" t="s">
        <v>60</v>
      </c>
      <c r="D11" s="31" t="s">
        <v>61</v>
      </c>
      <c r="E11" s="18" t="s">
        <v>62</v>
      </c>
      <c r="F11" s="18" t="s">
        <v>63</v>
      </c>
      <c r="G11" s="18" t="s">
        <v>64</v>
      </c>
      <c r="H11" s="18" t="s">
        <v>21</v>
      </c>
      <c r="I11" s="6"/>
    </row>
    <row r="12" spans="1:9" ht="24" customHeight="1" x14ac:dyDescent="0.2">
      <c r="A12" s="100">
        <f>'Reparto proporcional'!A10</f>
        <v>20</v>
      </c>
      <c r="B12" s="101">
        <f>INDEX('Reparto proporcional'!$E$10:$E$28,MATCH($A12,'Reparto proporcional'!$A$10:$A$28,0))</f>
        <v>0.95833333333333337</v>
      </c>
      <c r="C12" s="102">
        <f>INDEX('Complementarias por bloques'!$O$7:$O$25,MATCH($A12,'Complementarias por bloques'!$A$7:$A$25,0))</f>
        <v>0.95833333333333337</v>
      </c>
      <c r="D12" s="107">
        <f>ROUND((C12-B12)*1440,0)</f>
        <v>0</v>
      </c>
      <c r="E12" s="101">
        <f>INDEX('Reparto proporcional'!$F$10:$F$28,MATCH($A12,'Reparto proporcional'!$A$10:$A$28,0))</f>
        <v>1.4791666666666667</v>
      </c>
      <c r="F12" s="102">
        <f>INDEX('Complementarias por bloques'!$P$7:$P$25,MATCH($A12,'Complementarias por bloques'!$A$7:$A$25,0))</f>
        <v>1.4791666666666667</v>
      </c>
      <c r="G12" s="103">
        <f>ROUND((F12-E12)*1440,0)</f>
        <v>0</v>
      </c>
      <c r="H12" s="104" t="str">
        <f>IF(G12=0,"OK","Revisar")</f>
        <v>OK</v>
      </c>
      <c r="I12" s="6"/>
    </row>
    <row r="13" spans="1:9" ht="24" customHeight="1" x14ac:dyDescent="0.2">
      <c r="A13" s="22">
        <f>'Reparto proporcional'!A11</f>
        <v>19</v>
      </c>
      <c r="B13" s="23">
        <f>INDEX('Reparto proporcional'!$E$10:$E$28,MATCH($A13,'Reparto proporcional'!$A$10:$A$28,0))</f>
        <v>1</v>
      </c>
      <c r="C13" s="24">
        <f>INDEX('Complementarias por bloques'!$O$7:$O$25,MATCH($A13,'Complementarias por bloques'!$A$7:$A$25,0))</f>
        <v>1</v>
      </c>
      <c r="D13" s="108">
        <f t="shared" ref="D13:D30" si="0">ROUND((C13-B13)*1440,0)</f>
        <v>0</v>
      </c>
      <c r="E13" s="23">
        <f>INDEX('Reparto proporcional'!$F$10:$F$28,MATCH($A13,'Reparto proporcional'!$A$10:$A$28,0))</f>
        <v>1.5208333333333333</v>
      </c>
      <c r="F13" s="24">
        <f>INDEX('Complementarias por bloques'!$P$7:$P$25,MATCH($A13,'Complementarias por bloques'!$A$7:$A$25,0))</f>
        <v>1.5208333333333333</v>
      </c>
      <c r="G13" s="105">
        <f t="shared" ref="G13:G30" si="1">ROUND((F13-E13)*1440,0)</f>
        <v>0</v>
      </c>
      <c r="H13" s="83" t="str">
        <f t="shared" ref="H13:H30" si="2">IF(G13=0,"OK","Revisar")</f>
        <v>OK</v>
      </c>
      <c r="I13" s="6"/>
    </row>
    <row r="14" spans="1:9" ht="24" customHeight="1" x14ac:dyDescent="0.2">
      <c r="A14" s="22">
        <f>'Reparto proporcional'!A12</f>
        <v>18</v>
      </c>
      <c r="B14" s="23">
        <f>INDEX('Reparto proporcional'!$E$10:$E$28,MATCH($A14,'Reparto proporcional'!$A$10:$A$28,0))</f>
        <v>1.0416666666666667</v>
      </c>
      <c r="C14" s="24">
        <f>INDEX('Complementarias por bloques'!$O$7:$O$25,MATCH($A14,'Complementarias por bloques'!$A$7:$A$25,0))</f>
        <v>1.0416666666666667</v>
      </c>
      <c r="D14" s="108">
        <f t="shared" si="0"/>
        <v>0</v>
      </c>
      <c r="E14" s="23">
        <f>INDEX('Reparto proporcional'!$F$10:$F$28,MATCH($A14,'Reparto proporcional'!$A$10:$A$28,0))</f>
        <v>1.5625</v>
      </c>
      <c r="F14" s="24">
        <f>INDEX('Complementarias por bloques'!$P$7:$P$25,MATCH($A14,'Complementarias por bloques'!$A$7:$A$25,0))</f>
        <v>1.5625</v>
      </c>
      <c r="G14" s="105">
        <f t="shared" si="1"/>
        <v>0</v>
      </c>
      <c r="H14" s="83" t="str">
        <f t="shared" si="2"/>
        <v>OK</v>
      </c>
      <c r="I14" s="6"/>
    </row>
    <row r="15" spans="1:9" ht="24" customHeight="1" x14ac:dyDescent="0.2">
      <c r="A15" s="22">
        <f>'Reparto proporcional'!A13</f>
        <v>17</v>
      </c>
      <c r="B15" s="23">
        <f>INDEX('Reparto proporcional'!$E$10:$E$28,MATCH($A15,'Reparto proporcional'!$A$10:$A$28,0))</f>
        <v>0.98402777777777783</v>
      </c>
      <c r="C15" s="24">
        <f>INDEX('Complementarias por bloques'!$O$7:$O$25,MATCH($A15,'Complementarias por bloques'!$A$7:$A$25,0))</f>
        <v>1</v>
      </c>
      <c r="D15" s="108">
        <f t="shared" si="0"/>
        <v>23</v>
      </c>
      <c r="E15" s="23">
        <f>INDEX('Reparto proporcional'!$F$10:$F$28,MATCH($A15,'Reparto proporcional'!$A$10:$A$28,0))</f>
        <v>1.4756944444444444</v>
      </c>
      <c r="F15" s="24">
        <f>INDEX('Complementarias por bloques'!$P$7:$P$25,MATCH($A15,'Complementarias por bloques'!$A$7:$A$25,0))</f>
        <v>1.4756944444444444</v>
      </c>
      <c r="G15" s="105">
        <f t="shared" si="1"/>
        <v>0</v>
      </c>
      <c r="H15" s="83" t="str">
        <f t="shared" si="2"/>
        <v>OK</v>
      </c>
      <c r="I15" s="6"/>
    </row>
    <row r="16" spans="1:9" ht="24" customHeight="1" x14ac:dyDescent="0.2">
      <c r="A16" s="22">
        <f>'Reparto proporcional'!A14</f>
        <v>16</v>
      </c>
      <c r="B16" s="23">
        <f>INDEX('Reparto proporcional'!$E$10:$E$28,MATCH($A16,'Reparto proporcional'!$A$10:$A$28,0))</f>
        <v>0.92569444444444438</v>
      </c>
      <c r="C16" s="24">
        <f>INDEX('Complementarias por bloques'!$O$7:$O$25,MATCH($A16,'Complementarias por bloques'!$A$7:$A$25,0))</f>
        <v>0.91666666666666663</v>
      </c>
      <c r="D16" s="108">
        <f t="shared" si="0"/>
        <v>-13</v>
      </c>
      <c r="E16" s="23">
        <f>INDEX('Reparto proporcional'!$F$10:$F$28,MATCH($A16,'Reparto proporcional'!$A$10:$A$28,0))</f>
        <v>1.3888888888888888</v>
      </c>
      <c r="F16" s="24">
        <f>INDEX('Complementarias por bloques'!$P$7:$P$25,MATCH($A16,'Complementarias por bloques'!$A$7:$A$25,0))</f>
        <v>1.3888888888888888</v>
      </c>
      <c r="G16" s="105">
        <f t="shared" si="1"/>
        <v>0</v>
      </c>
      <c r="H16" s="83" t="str">
        <f t="shared" si="2"/>
        <v>OK</v>
      </c>
      <c r="I16" s="6"/>
    </row>
    <row r="17" spans="1:9" ht="24" customHeight="1" x14ac:dyDescent="0.2">
      <c r="A17" s="22">
        <f>'Reparto proporcional'!A15</f>
        <v>15</v>
      </c>
      <c r="B17" s="23">
        <f>INDEX('Reparto proporcional'!$E$10:$E$28,MATCH($A17,'Reparto proporcional'!$A$10:$A$28,0))</f>
        <v>0.86805555555555558</v>
      </c>
      <c r="C17" s="24">
        <f>INDEX('Complementarias por bloques'!$O$7:$O$25,MATCH($A17,'Complementarias por bloques'!$A$7:$A$25,0))</f>
        <v>0.875</v>
      </c>
      <c r="D17" s="108">
        <f t="shared" si="0"/>
        <v>10</v>
      </c>
      <c r="E17" s="23">
        <f>INDEX('Reparto proporcional'!$F$10:$F$28,MATCH($A17,'Reparto proporcional'!$A$10:$A$28,0))</f>
        <v>1.3020833333333335</v>
      </c>
      <c r="F17" s="24">
        <f>INDEX('Complementarias por bloques'!$P$7:$P$25,MATCH($A17,'Complementarias por bloques'!$A$7:$A$25,0))</f>
        <v>1.3020833333333335</v>
      </c>
      <c r="G17" s="105">
        <f t="shared" si="1"/>
        <v>0</v>
      </c>
      <c r="H17" s="83" t="str">
        <f t="shared" si="2"/>
        <v>OK</v>
      </c>
      <c r="I17" s="6"/>
    </row>
    <row r="18" spans="1:9" ht="24" customHeight="1" x14ac:dyDescent="0.2">
      <c r="A18" s="22">
        <f>'Reparto proporcional'!A16</f>
        <v>14</v>
      </c>
      <c r="B18" s="23">
        <f>INDEX('Reparto proporcional'!$E$10:$E$28,MATCH($A18,'Reparto proporcional'!$A$10:$A$28,0))</f>
        <v>0.81041666666666667</v>
      </c>
      <c r="C18" s="24">
        <f>INDEX('Complementarias por bloques'!$O$7:$O$25,MATCH($A18,'Complementarias por bloques'!$A$7:$A$25,0))</f>
        <v>0.79166666666666674</v>
      </c>
      <c r="D18" s="108">
        <f t="shared" si="0"/>
        <v>-27</v>
      </c>
      <c r="E18" s="23">
        <f>INDEX('Reparto proporcional'!$F$10:$F$28,MATCH($A18,'Reparto proporcional'!$A$10:$A$28,0))</f>
        <v>1.2152777777777777</v>
      </c>
      <c r="F18" s="24">
        <f>INDEX('Complementarias por bloques'!$P$7:$P$25,MATCH($A18,'Complementarias por bloques'!$A$7:$A$25,0))</f>
        <v>1.2152777777777779</v>
      </c>
      <c r="G18" s="105">
        <f t="shared" si="1"/>
        <v>0</v>
      </c>
      <c r="H18" s="83" t="str">
        <f t="shared" si="2"/>
        <v>OK</v>
      </c>
      <c r="I18" s="6"/>
    </row>
    <row r="19" spans="1:9" ht="24" customHeight="1" x14ac:dyDescent="0.2">
      <c r="A19" s="22">
        <f>'Reparto proporcional'!A17</f>
        <v>13</v>
      </c>
      <c r="B19" s="23">
        <f>INDEX('Reparto proporcional'!$E$10:$E$28,MATCH($A19,'Reparto proporcional'!$A$10:$A$28,0))</f>
        <v>0.75208333333333333</v>
      </c>
      <c r="C19" s="24">
        <f>INDEX('Complementarias por bloques'!$O$7:$O$25,MATCH($A19,'Complementarias por bloques'!$A$7:$A$25,0))</f>
        <v>0.75</v>
      </c>
      <c r="D19" s="108">
        <f t="shared" si="0"/>
        <v>-3</v>
      </c>
      <c r="E19" s="23">
        <f>INDEX('Reparto proporcional'!$F$10:$F$28,MATCH($A19,'Reparto proporcional'!$A$10:$A$28,0))</f>
        <v>1.1284722222222223</v>
      </c>
      <c r="F19" s="24">
        <f>INDEX('Complementarias por bloques'!$P$7:$P$25,MATCH($A19,'Complementarias por bloques'!$A$7:$A$25,0))</f>
        <v>1.1284722222222223</v>
      </c>
      <c r="G19" s="105">
        <f t="shared" si="1"/>
        <v>0</v>
      </c>
      <c r="H19" s="83" t="str">
        <f t="shared" si="2"/>
        <v>OK</v>
      </c>
      <c r="I19" s="6"/>
    </row>
    <row r="20" spans="1:9" ht="24" customHeight="1" x14ac:dyDescent="0.2">
      <c r="A20" s="22">
        <f>'Reparto proporcional'!A18</f>
        <v>12</v>
      </c>
      <c r="B20" s="23">
        <f>INDEX('Reparto proporcional'!$E$10:$E$28,MATCH($A20,'Reparto proporcional'!$A$10:$A$28,0))</f>
        <v>0.69444444444444442</v>
      </c>
      <c r="C20" s="24">
        <f>INDEX('Complementarias por bloques'!$O$7:$O$25,MATCH($A20,'Complementarias por bloques'!$A$7:$A$25,0))</f>
        <v>0.70833333333333337</v>
      </c>
      <c r="D20" s="108">
        <f t="shared" si="0"/>
        <v>20</v>
      </c>
      <c r="E20" s="23">
        <f>INDEX('Reparto proporcional'!$F$10:$F$28,MATCH($A20,'Reparto proporcional'!$A$10:$A$28,0))</f>
        <v>1.0416666666666665</v>
      </c>
      <c r="F20" s="24">
        <f>INDEX('Complementarias por bloques'!$P$7:$P$25,MATCH($A20,'Complementarias por bloques'!$A$7:$A$25,0))</f>
        <v>1.0416666666666667</v>
      </c>
      <c r="G20" s="105">
        <f t="shared" si="1"/>
        <v>0</v>
      </c>
      <c r="H20" s="83" t="str">
        <f t="shared" si="2"/>
        <v>OK</v>
      </c>
      <c r="I20" s="6"/>
    </row>
    <row r="21" spans="1:9" ht="24" customHeight="1" x14ac:dyDescent="0.2">
      <c r="A21" s="22">
        <f>'Reparto proporcional'!A19</f>
        <v>11</v>
      </c>
      <c r="B21" s="23">
        <f>INDEX('Reparto proporcional'!$E$10:$E$28,MATCH($A21,'Reparto proporcional'!$A$10:$A$28,0))</f>
        <v>0.63680555555555551</v>
      </c>
      <c r="C21" s="24">
        <f>INDEX('Complementarias por bloques'!$O$7:$O$25,MATCH($A21,'Complementarias por bloques'!$A$7:$A$25,0))</f>
        <v>0.625</v>
      </c>
      <c r="D21" s="108">
        <f t="shared" si="0"/>
        <v>-17</v>
      </c>
      <c r="E21" s="23">
        <f>INDEX('Reparto proporcional'!$F$10:$F$28,MATCH($A21,'Reparto proporcional'!$A$10:$A$28,0))</f>
        <v>0.95486111111111105</v>
      </c>
      <c r="F21" s="24">
        <f>INDEX('Complementarias por bloques'!$P$7:$P$25,MATCH($A21,'Complementarias por bloques'!$A$7:$A$25,0))</f>
        <v>0.95486111111111105</v>
      </c>
      <c r="G21" s="105">
        <f t="shared" si="1"/>
        <v>0</v>
      </c>
      <c r="H21" s="83" t="str">
        <f t="shared" si="2"/>
        <v>OK</v>
      </c>
      <c r="I21" s="6"/>
    </row>
    <row r="22" spans="1:9" ht="24" customHeight="1" x14ac:dyDescent="0.2">
      <c r="A22" s="22">
        <f>'Reparto proporcional'!A20</f>
        <v>10</v>
      </c>
      <c r="B22" s="23">
        <f>INDEX('Reparto proporcional'!$E$10:$E$28,MATCH($A22,'Reparto proporcional'!$A$10:$A$28,0))</f>
        <v>0.57847222222222228</v>
      </c>
      <c r="C22" s="24">
        <f>INDEX('Complementarias por bloques'!$O$7:$O$25,MATCH($A22,'Complementarias por bloques'!$A$7:$A$25,0))</f>
        <v>0.58333333333333337</v>
      </c>
      <c r="D22" s="108">
        <f t="shared" si="0"/>
        <v>7</v>
      </c>
      <c r="E22" s="23">
        <f>INDEX('Reparto proporcional'!$F$10:$F$28,MATCH($A22,'Reparto proporcional'!$A$10:$A$28,0))</f>
        <v>0.86805555555555558</v>
      </c>
      <c r="F22" s="24">
        <f>INDEX('Complementarias por bloques'!$P$7:$P$25,MATCH($A22,'Complementarias por bloques'!$A$7:$A$25,0))</f>
        <v>0.86805555555555558</v>
      </c>
      <c r="G22" s="105">
        <f t="shared" si="1"/>
        <v>0</v>
      </c>
      <c r="H22" s="83" t="str">
        <f t="shared" si="2"/>
        <v>OK</v>
      </c>
      <c r="I22" s="6"/>
    </row>
    <row r="23" spans="1:9" ht="24" customHeight="1" x14ac:dyDescent="0.2">
      <c r="A23" s="22">
        <f>'Reparto proporcional'!A21</f>
        <v>9</v>
      </c>
      <c r="B23" s="23">
        <f>INDEX('Reparto proporcional'!$E$10:$E$28,MATCH($A23,'Reparto proporcional'!$A$10:$A$28,0))</f>
        <v>0.52083333333333337</v>
      </c>
      <c r="C23" s="24">
        <f>INDEX('Complementarias por bloques'!$O$7:$O$25,MATCH($A23,'Complementarias por bloques'!$A$7:$A$25,0))</f>
        <v>0.54166666666666663</v>
      </c>
      <c r="D23" s="108">
        <f t="shared" si="0"/>
        <v>30</v>
      </c>
      <c r="E23" s="23">
        <f>INDEX('Reparto proporcional'!$F$10:$F$28,MATCH($A23,'Reparto proporcional'!$A$10:$A$28,0))</f>
        <v>0.78125</v>
      </c>
      <c r="F23" s="24">
        <f>INDEX('Complementarias por bloques'!$P$7:$P$25,MATCH($A23,'Complementarias por bloques'!$A$7:$A$25,0))</f>
        <v>0.78125</v>
      </c>
      <c r="G23" s="105">
        <f t="shared" si="1"/>
        <v>0</v>
      </c>
      <c r="H23" s="83" t="str">
        <f t="shared" si="2"/>
        <v>OK</v>
      </c>
      <c r="I23" s="6"/>
    </row>
    <row r="24" spans="1:9" ht="24" customHeight="1" x14ac:dyDescent="0.2">
      <c r="A24" s="22">
        <f>'Reparto proporcional'!A22</f>
        <v>8</v>
      </c>
      <c r="B24" s="23">
        <f>INDEX('Reparto proporcional'!$E$10:$E$28,MATCH($A24,'Reparto proporcional'!$A$10:$A$28,0))</f>
        <v>0.46319444444444446</v>
      </c>
      <c r="C24" s="24">
        <f>INDEX('Complementarias por bloques'!$O$7:$O$25,MATCH($A24,'Complementarias por bloques'!$A$7:$A$25,0))</f>
        <v>0.45833333333333331</v>
      </c>
      <c r="D24" s="108">
        <f t="shared" si="0"/>
        <v>-7</v>
      </c>
      <c r="E24" s="23">
        <f>INDEX('Reparto proporcional'!$F$10:$F$28,MATCH($A24,'Reparto proporcional'!$A$10:$A$28,0))</f>
        <v>0.69444444444444442</v>
      </c>
      <c r="F24" s="24">
        <f>INDEX('Complementarias por bloques'!$P$7:$P$25,MATCH($A24,'Complementarias por bloques'!$A$7:$A$25,0))</f>
        <v>0.69444444444444442</v>
      </c>
      <c r="G24" s="105">
        <f t="shared" si="1"/>
        <v>0</v>
      </c>
      <c r="H24" s="83" t="str">
        <f t="shared" si="2"/>
        <v>OK</v>
      </c>
      <c r="I24" s="6"/>
    </row>
    <row r="25" spans="1:9" ht="24" customHeight="1" x14ac:dyDescent="0.2">
      <c r="A25" s="22">
        <f>'Reparto proporcional'!A23</f>
        <v>7</v>
      </c>
      <c r="B25" s="23">
        <f>INDEX('Reparto proporcional'!$E$10:$E$28,MATCH($A25,'Reparto proporcional'!$A$10:$A$28,0))</f>
        <v>0.40486111111111112</v>
      </c>
      <c r="C25" s="24">
        <f>INDEX('Complementarias por bloques'!$O$7:$O$25,MATCH($A25,'Complementarias por bloques'!$A$7:$A$25,0))</f>
        <v>0.41666666666666669</v>
      </c>
      <c r="D25" s="108">
        <f t="shared" si="0"/>
        <v>17</v>
      </c>
      <c r="E25" s="23">
        <f>INDEX('Reparto proporcional'!$F$10:$F$28,MATCH($A25,'Reparto proporcional'!$A$10:$A$28,0))</f>
        <v>0.60763888888888884</v>
      </c>
      <c r="F25" s="24">
        <f>INDEX('Complementarias por bloques'!$P$7:$P$25,MATCH($A25,'Complementarias por bloques'!$A$7:$A$25,0))</f>
        <v>0.60763888888888895</v>
      </c>
      <c r="G25" s="105">
        <f t="shared" si="1"/>
        <v>0</v>
      </c>
      <c r="H25" s="83" t="str">
        <f t="shared" si="2"/>
        <v>OK</v>
      </c>
      <c r="I25" s="6"/>
    </row>
    <row r="26" spans="1:9" ht="24" customHeight="1" x14ac:dyDescent="0.2">
      <c r="A26" s="22">
        <f>'Reparto proporcional'!A24</f>
        <v>6</v>
      </c>
      <c r="B26" s="23">
        <f>INDEX('Reparto proporcional'!$E$10:$E$28,MATCH($A26,'Reparto proporcional'!$A$10:$A$28,0))</f>
        <v>0.34722222222222221</v>
      </c>
      <c r="C26" s="24">
        <f>INDEX('Complementarias por bloques'!$O$7:$O$25,MATCH($A26,'Complementarias por bloques'!$A$7:$A$25,0))</f>
        <v>0.33333333333333331</v>
      </c>
      <c r="D26" s="108">
        <f t="shared" si="0"/>
        <v>-20</v>
      </c>
      <c r="E26" s="23">
        <f>INDEX('Reparto proporcional'!$F$10:$F$28,MATCH($A26,'Reparto proporcional'!$A$10:$A$28,0))</f>
        <v>0.52083333333333326</v>
      </c>
      <c r="F26" s="24">
        <f>INDEX('Complementarias por bloques'!$P$7:$P$25,MATCH($A26,'Complementarias por bloques'!$A$7:$A$25,0))</f>
        <v>0.52083333333333326</v>
      </c>
      <c r="G26" s="105">
        <f t="shared" si="1"/>
        <v>0</v>
      </c>
      <c r="H26" s="83" t="str">
        <f t="shared" si="2"/>
        <v>OK</v>
      </c>
      <c r="I26" s="6"/>
    </row>
    <row r="27" spans="1:9" ht="24" customHeight="1" x14ac:dyDescent="0.2">
      <c r="A27" s="22">
        <f>'Reparto proporcional'!A25</f>
        <v>5</v>
      </c>
      <c r="B27" s="23">
        <f>INDEX('Reparto proporcional'!$E$10:$E$28,MATCH($A27,'Reparto proporcional'!$A$10:$A$28,0))</f>
        <v>0.28958333333333336</v>
      </c>
      <c r="C27" s="24">
        <f>INDEX('Complementarias por bloques'!$O$7:$O$25,MATCH($A27,'Complementarias por bloques'!$A$7:$A$25,0))</f>
        <v>0.29166666666666669</v>
      </c>
      <c r="D27" s="108">
        <f t="shared" si="0"/>
        <v>3</v>
      </c>
      <c r="E27" s="23">
        <f>INDEX('Reparto proporcional'!$F$10:$F$28,MATCH($A27,'Reparto proporcional'!$A$10:$A$28,0))</f>
        <v>0.43402777777777779</v>
      </c>
      <c r="F27" s="24">
        <f>INDEX('Complementarias por bloques'!$P$7:$P$25,MATCH($A27,'Complementarias por bloques'!$A$7:$A$25,0))</f>
        <v>0.43402777777777779</v>
      </c>
      <c r="G27" s="105">
        <f t="shared" si="1"/>
        <v>0</v>
      </c>
      <c r="H27" s="83" t="str">
        <f t="shared" si="2"/>
        <v>OK</v>
      </c>
      <c r="I27" s="6"/>
    </row>
    <row r="28" spans="1:9" ht="24" customHeight="1" x14ac:dyDescent="0.2">
      <c r="A28" s="22">
        <f>'Reparto proporcional'!A26</f>
        <v>4</v>
      </c>
      <c r="B28" s="23">
        <f>INDEX('Reparto proporcional'!$E$10:$E$28,MATCH($A28,'Reparto proporcional'!$A$10:$A$28,0))</f>
        <v>0.23125000000000001</v>
      </c>
      <c r="C28" s="24">
        <f>INDEX('Complementarias por bloques'!$O$7:$O$25,MATCH($A28,'Complementarias por bloques'!$A$7:$A$25,0))</f>
        <v>0.25</v>
      </c>
      <c r="D28" s="108">
        <f t="shared" si="0"/>
        <v>27</v>
      </c>
      <c r="E28" s="23">
        <f>INDEX('Reparto proporcional'!$F$10:$F$28,MATCH($A28,'Reparto proporcional'!$A$10:$A$28,0))</f>
        <v>0.34722222222222221</v>
      </c>
      <c r="F28" s="24">
        <f>INDEX('Complementarias por bloques'!$P$7:$P$25,MATCH($A28,'Complementarias por bloques'!$A$7:$A$25,0))</f>
        <v>0.34722222222222221</v>
      </c>
      <c r="G28" s="105">
        <f t="shared" si="1"/>
        <v>0</v>
      </c>
      <c r="H28" s="83" t="str">
        <f t="shared" si="2"/>
        <v>OK</v>
      </c>
      <c r="I28" s="6"/>
    </row>
    <row r="29" spans="1:9" ht="24" customHeight="1" x14ac:dyDescent="0.2">
      <c r="A29" s="22">
        <f>'Reparto proporcional'!A27</f>
        <v>3</v>
      </c>
      <c r="B29" s="23">
        <f>INDEX('Reparto proporcional'!$E$10:$E$28,MATCH($A29,'Reparto proporcional'!$A$10:$A$28,0))</f>
        <v>0.1736111111111111</v>
      </c>
      <c r="C29" s="24">
        <f>INDEX('Complementarias por bloques'!$O$7:$O$25,MATCH($A29,'Complementarias por bloques'!$A$7:$A$25,0))</f>
        <v>0.16666666666666666</v>
      </c>
      <c r="D29" s="108">
        <f t="shared" si="0"/>
        <v>-10</v>
      </c>
      <c r="E29" s="23">
        <f>INDEX('Reparto proporcional'!$F$10:$F$28,MATCH($A29,'Reparto proporcional'!$A$10:$A$28,0))</f>
        <v>0.26041666666666663</v>
      </c>
      <c r="F29" s="24">
        <f>INDEX('Complementarias por bloques'!$P$7:$P$25,MATCH($A29,'Complementarias por bloques'!$A$7:$A$25,0))</f>
        <v>0.26041666666666663</v>
      </c>
      <c r="G29" s="105">
        <f t="shared" si="1"/>
        <v>0</v>
      </c>
      <c r="H29" s="83" t="str">
        <f t="shared" si="2"/>
        <v>OK</v>
      </c>
      <c r="I29" s="6"/>
    </row>
    <row r="30" spans="1:9" ht="24" customHeight="1" x14ac:dyDescent="0.2">
      <c r="A30" s="26">
        <f>'Reparto proporcional'!A28</f>
        <v>2</v>
      </c>
      <c r="B30" s="27">
        <f>INDEX('Reparto proporcional'!$E$10:$E$28,MATCH($A30,'Reparto proporcional'!$A$10:$A$28,0))</f>
        <v>0.11597222222222223</v>
      </c>
      <c r="C30" s="28">
        <f>INDEX('Complementarias por bloques'!$O$7:$O$25,MATCH($A30,'Complementarias por bloques'!$A$7:$A$25,0))</f>
        <v>0.125</v>
      </c>
      <c r="D30" s="109">
        <f t="shared" si="0"/>
        <v>13</v>
      </c>
      <c r="E30" s="27">
        <f>INDEX('Reparto proporcional'!$F$10:$F$28,MATCH($A30,'Reparto proporcional'!$A$10:$A$28,0))</f>
        <v>0.1736111111111111</v>
      </c>
      <c r="F30" s="28">
        <f>INDEX('Complementarias por bloques'!$P$7:$P$25,MATCH($A30,'Complementarias por bloques'!$A$7:$A$25,0))</f>
        <v>0.1736111111111111</v>
      </c>
      <c r="G30" s="106">
        <f t="shared" si="1"/>
        <v>0</v>
      </c>
      <c r="H30" s="84" t="str">
        <f t="shared" si="2"/>
        <v>OK</v>
      </c>
      <c r="I30" s="6"/>
    </row>
    <row r="31" spans="1:9" x14ac:dyDescent="0.2">
      <c r="A31" s="6"/>
      <c r="B31" s="6"/>
      <c r="C31" s="6"/>
      <c r="D31" s="6"/>
      <c r="E31" s="6"/>
      <c r="F31" s="6"/>
      <c r="G31" s="6"/>
      <c r="H31" s="6"/>
      <c r="I31" s="6"/>
    </row>
    <row r="32" spans="1:9" x14ac:dyDescent="0.2">
      <c r="A32" s="30" t="s">
        <v>27</v>
      </c>
      <c r="B32" s="6"/>
      <c r="C32" s="6"/>
      <c r="D32" s="6"/>
      <c r="E32" s="6"/>
      <c r="F32" s="6"/>
      <c r="G32" s="6"/>
      <c r="H32" s="6"/>
      <c r="I32" s="6"/>
    </row>
    <row r="33" spans="1:9" ht="18" customHeight="1" x14ac:dyDescent="0.2">
      <c r="A33" s="7" t="s">
        <v>65</v>
      </c>
      <c r="B33" s="6"/>
      <c r="C33" s="6"/>
      <c r="D33" s="6"/>
      <c r="E33" s="6"/>
      <c r="F33" s="6"/>
      <c r="G33" s="6"/>
      <c r="H33" s="6"/>
      <c r="I33" s="6"/>
    </row>
    <row r="34" spans="1:9" ht="18" customHeight="1" x14ac:dyDescent="0.2">
      <c r="A34" s="7" t="s">
        <v>66</v>
      </c>
      <c r="B34" s="6"/>
      <c r="C34" s="6"/>
      <c r="D34" s="6"/>
      <c r="E34" s="6"/>
      <c r="F34" s="6"/>
      <c r="G34" s="6"/>
      <c r="H34" s="6"/>
      <c r="I34" s="6"/>
    </row>
    <row r="35" spans="1:9" ht="18" customHeight="1" x14ac:dyDescent="0.2">
      <c r="A35" s="7" t="s">
        <v>67</v>
      </c>
      <c r="B35" s="6"/>
      <c r="C35" s="6"/>
      <c r="D35" s="6"/>
      <c r="E35" s="6"/>
      <c r="F35" s="6"/>
      <c r="G35" s="6"/>
      <c r="H35" s="6"/>
      <c r="I35" s="6"/>
    </row>
    <row r="36" spans="1:9" x14ac:dyDescent="0.2">
      <c r="A36" s="6"/>
      <c r="B36" s="6"/>
      <c r="C36" s="6"/>
      <c r="D36" s="6"/>
      <c r="E36" s="6"/>
      <c r="F36" s="6"/>
      <c r="G36" s="6"/>
      <c r="H36" s="6"/>
      <c r="I36" s="6"/>
    </row>
    <row r="37" spans="1:9" x14ac:dyDescent="0.2">
      <c r="A37" s="6"/>
      <c r="B37" s="6"/>
      <c r="C37" s="6"/>
      <c r="D37" s="6"/>
      <c r="E37" s="6"/>
      <c r="F37" s="6"/>
      <c r="G37" s="6"/>
      <c r="H37" s="6"/>
      <c r="I37" s="6"/>
    </row>
    <row r="38" spans="1:9" x14ac:dyDescent="0.2">
      <c r="A38" s="6"/>
      <c r="B38" s="6"/>
      <c r="C38" s="6"/>
      <c r="D38" s="6"/>
      <c r="E38" s="6"/>
      <c r="F38" s="6"/>
      <c r="G38" s="6"/>
      <c r="H38" s="6"/>
      <c r="I38" s="6"/>
    </row>
    <row r="39" spans="1:9" x14ac:dyDescent="0.2">
      <c r="A39" s="6"/>
      <c r="B39" s="6"/>
      <c r="C39" s="6"/>
      <c r="D39" s="6"/>
      <c r="E39" s="6"/>
      <c r="F39" s="6"/>
      <c r="G39" s="6"/>
      <c r="H39" s="6"/>
      <c r="I39" s="6"/>
    </row>
    <row r="40" spans="1:9" x14ac:dyDescent="0.2">
      <c r="A40" s="6"/>
      <c r="B40" s="6"/>
      <c r="C40" s="6"/>
      <c r="D40" s="6"/>
      <c r="E40" s="6"/>
      <c r="F40" s="6"/>
      <c r="G40" s="6"/>
      <c r="H40" s="6"/>
      <c r="I40" s="6"/>
    </row>
  </sheetData>
  <conditionalFormatting sqref="A12:H30">
    <cfRule type="expression" dxfId="2" priority="1">
      <formula>$A12=$B$4</formula>
    </cfRule>
  </conditionalFormatting>
  <conditionalFormatting sqref="E8">
    <cfRule type="containsText" dxfId="1" priority="3" operator="containsText" text="Revisar">
      <formula>NOT(ISERROR(SEARCH("Revisar",E8)))</formula>
    </cfRule>
  </conditionalFormatting>
  <conditionalFormatting sqref="H12:H30">
    <cfRule type="containsText" dxfId="0" priority="2" operator="containsText" text="Revisar">
      <formula>NOT(ISERROR(SEARCH("Revisar",H12)))</formula>
    </cfRule>
  </conditionalFormatting>
  <hyperlinks>
    <hyperlink ref="H1" location="'Portada'!A1" display="← Portada" xr:uid="{31B634F8-2C9F-7949-A13A-E43166331B91}"/>
  </hyperlinks>
  <printOptions horizontalCentered="1"/>
  <pageMargins left="0.39370078740157477" right="0.39370078740157477" top="0.4724409448818897" bottom="0.4724409448818897" header="0.19685039370078738" footer="0.19685039370078738"/>
  <pageSetup paperSize="9" scale="67" orientation="landscape" horizontalDpi="0" verticalDpi="0"/>
  <headerFooter>
    <oddFooter>&amp;CReparto de horas docentes · &amp;A · &amp;P / &amp;F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E85D089-781D-1A4E-A0EF-98DA0303EB9C}">
          <x14:formula1>
            <xm:f>'Reparto proporcional'!$A$10:$A$28</xm:f>
          </x14:formula1>
          <xm:sqref>B4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E5C75-B385-5A4D-8F63-762B0E0C3CA0}">
  <dimension ref="A1:K101"/>
  <sheetViews>
    <sheetView showGridLines="0" workbookViewId="0"/>
  </sheetViews>
  <sheetFormatPr baseColWidth="10" defaultRowHeight="15" x14ac:dyDescent="0.2"/>
  <cols>
    <col min="1" max="1" width="52.83203125" customWidth="1"/>
    <col min="2" max="5" width="18.83203125" customWidth="1"/>
    <col min="7" max="7" width="14.83203125" customWidth="1"/>
  </cols>
  <sheetData>
    <row r="1" spans="1:8" ht="25" x14ac:dyDescent="0.25">
      <c r="A1" s="115" t="s">
        <v>71</v>
      </c>
      <c r="B1" s="114"/>
      <c r="C1" s="114"/>
      <c r="D1" s="114"/>
      <c r="E1" s="114"/>
      <c r="F1" s="114"/>
      <c r="G1" s="114"/>
      <c r="H1" s="114"/>
    </row>
    <row r="2" spans="1:8" x14ac:dyDescent="0.2">
      <c r="A2" s="7" t="s">
        <v>72</v>
      </c>
      <c r="B2" s="114"/>
      <c r="C2" s="114"/>
      <c r="D2" s="114"/>
      <c r="E2" s="114"/>
      <c r="F2" s="114"/>
      <c r="G2" s="114"/>
      <c r="H2" s="114"/>
    </row>
    <row r="3" spans="1:8" x14ac:dyDescent="0.2">
      <c r="A3" s="114"/>
      <c r="B3" s="114"/>
      <c r="C3" s="114"/>
      <c r="D3" s="114"/>
      <c r="E3" s="114"/>
      <c r="F3" s="114"/>
      <c r="G3" s="114"/>
      <c r="H3" s="114"/>
    </row>
    <row r="4" spans="1:8" x14ac:dyDescent="0.2">
      <c r="A4" s="4" t="s">
        <v>73</v>
      </c>
      <c r="B4" s="114"/>
      <c r="C4" s="114"/>
      <c r="D4" s="114"/>
      <c r="E4" s="114"/>
      <c r="F4" s="114"/>
      <c r="G4" s="114"/>
      <c r="H4" s="114"/>
    </row>
    <row r="5" spans="1:8" x14ac:dyDescent="0.2">
      <c r="A5" s="114"/>
      <c r="B5" s="117" t="s">
        <v>74</v>
      </c>
      <c r="C5" s="117" t="s">
        <v>75</v>
      </c>
      <c r="D5" s="117" t="s">
        <v>76</v>
      </c>
      <c r="E5" s="114"/>
      <c r="F5" s="114"/>
      <c r="G5" s="114"/>
      <c r="H5" s="114"/>
    </row>
    <row r="6" spans="1:8" x14ac:dyDescent="0.2">
      <c r="A6" s="120" t="s">
        <v>77</v>
      </c>
      <c r="B6" s="118" t="s">
        <v>74</v>
      </c>
      <c r="C6" s="118" t="s">
        <v>75</v>
      </c>
      <c r="D6" s="118" t="s">
        <v>76</v>
      </c>
      <c r="E6" s="114"/>
      <c r="F6" s="114"/>
      <c r="G6" s="114"/>
      <c r="H6" s="114"/>
    </row>
    <row r="7" spans="1:8" ht="18" x14ac:dyDescent="0.2">
      <c r="A7" s="120" t="s">
        <v>78</v>
      </c>
      <c r="B7" s="119">
        <v>14</v>
      </c>
      <c r="C7" s="119">
        <v>4</v>
      </c>
      <c r="D7" s="119"/>
      <c r="E7" s="114"/>
      <c r="F7" s="114"/>
      <c r="G7" s="114"/>
      <c r="H7" s="114"/>
    </row>
    <row r="8" spans="1:8" x14ac:dyDescent="0.2">
      <c r="A8" s="114" t="s">
        <v>196</v>
      </c>
      <c r="B8" s="124">
        <v>0</v>
      </c>
      <c r="C8" s="124">
        <v>0</v>
      </c>
      <c r="D8" s="124">
        <v>0</v>
      </c>
      <c r="E8" s="114"/>
      <c r="F8" s="114"/>
      <c r="G8" s="114"/>
      <c r="H8" s="114"/>
    </row>
    <row r="9" spans="1:8" x14ac:dyDescent="0.2">
      <c r="A9" s="120" t="s">
        <v>118</v>
      </c>
      <c r="B9" s="118">
        <v>1</v>
      </c>
      <c r="C9" s="7" t="str">
        <f>INDEX($B$6:$D$6,$B$9)</f>
        <v>Centro 1</v>
      </c>
      <c r="D9" s="114"/>
      <c r="E9" s="114"/>
      <c r="F9" s="114"/>
      <c r="G9" s="114"/>
      <c r="H9" s="114"/>
    </row>
    <row r="10" spans="1:8" x14ac:dyDescent="0.2">
      <c r="A10" s="120" t="s">
        <v>79</v>
      </c>
      <c r="B10" s="197" t="s">
        <v>117</v>
      </c>
      <c r="C10" s="197"/>
      <c r="D10" s="197"/>
      <c r="E10" s="114"/>
      <c r="F10" s="114"/>
      <c r="G10" s="114"/>
      <c r="H10" s="114"/>
    </row>
    <row r="11" spans="1:8" x14ac:dyDescent="0.2">
      <c r="A11" s="114"/>
      <c r="B11" s="114"/>
      <c r="C11" s="114"/>
      <c r="D11" s="114"/>
      <c r="E11" s="114"/>
      <c r="F11" s="114"/>
      <c r="G11" s="114"/>
      <c r="H11" s="114"/>
    </row>
    <row r="12" spans="1:8" x14ac:dyDescent="0.2">
      <c r="A12" s="4" t="s">
        <v>80</v>
      </c>
      <c r="B12" s="114"/>
      <c r="C12" s="114"/>
      <c r="D12" s="114"/>
      <c r="E12" s="114"/>
      <c r="F12" s="114"/>
      <c r="G12" s="114"/>
      <c r="H12" s="114"/>
    </row>
    <row r="13" spans="1:8" ht="17" x14ac:dyDescent="0.2">
      <c r="A13" s="6" t="s">
        <v>197</v>
      </c>
      <c r="B13" s="121">
        <f>SUM(B7:D7)</f>
        <v>18</v>
      </c>
      <c r="C13" s="114"/>
      <c r="D13" s="114"/>
      <c r="E13" s="114"/>
      <c r="F13" s="114"/>
      <c r="G13" s="114"/>
      <c r="H13" s="114"/>
    </row>
    <row r="14" spans="1:8" ht="17" x14ac:dyDescent="0.2">
      <c r="A14" s="6" t="s">
        <v>57</v>
      </c>
      <c r="B14" s="122" t="str">
        <f>IF(AND(B13&gt;=2,B13&lt;=18,B13=INT(B13),SUM(B8:D8)&lt;=2,SUMPRODUCT((B7:D7&lt;=0)*(B8:D8&gt;0))=0),"OK","Contratadas: de 2 a 18 en total. De más: hasta 2 y solo en centros con lectivas")</f>
        <v>OK</v>
      </c>
      <c r="C14" s="114"/>
      <c r="D14" s="114"/>
      <c r="E14" s="114"/>
      <c r="F14" s="114"/>
      <c r="G14" s="114"/>
      <c r="H14" s="114"/>
    </row>
    <row r="15" spans="1:8" ht="17" x14ac:dyDescent="0.2">
      <c r="A15" s="6" t="s">
        <v>198</v>
      </c>
      <c r="B15" s="123">
        <f>IF($B$14="OK",SUM(B73:D73)/24,"")</f>
        <v>0.29166666666666669</v>
      </c>
      <c r="C15" s="114"/>
      <c r="D15" s="114"/>
      <c r="E15" s="114"/>
      <c r="F15" s="114"/>
      <c r="G15" s="114"/>
      <c r="H15" s="114"/>
    </row>
    <row r="16" spans="1:8" ht="17" x14ac:dyDescent="0.2">
      <c r="A16" s="6" t="s">
        <v>82</v>
      </c>
      <c r="B16" s="123">
        <f>IF($B$14="OK",INDEX('Complementarias por bloques'!$M$7:$M$25,MATCH($B$13,'Complementarias por bloques'!$A$7:$A$25,0)),"")</f>
        <v>0.20833333333333334</v>
      </c>
      <c r="C16" s="114"/>
      <c r="D16" s="114"/>
      <c r="E16" s="114"/>
      <c r="F16" s="114"/>
      <c r="G16" s="114"/>
      <c r="H16" s="114"/>
    </row>
    <row r="17" spans="1:8" ht="17" x14ac:dyDescent="0.2">
      <c r="A17" s="6" t="s">
        <v>83</v>
      </c>
      <c r="B17" s="123">
        <f>IF($B$14="OK",INDEX('Complementarias por bloques'!$N$7:$N$25,MATCH($B$13,'Complementarias por bloques'!$A$7:$A$25,0)),"")</f>
        <v>0.3125</v>
      </c>
      <c r="C17" s="114"/>
      <c r="D17" s="114"/>
      <c r="E17" s="114"/>
      <c r="F17" s="114"/>
      <c r="G17" s="114"/>
      <c r="H17" s="114"/>
    </row>
    <row r="18" spans="1:8" ht="17" x14ac:dyDescent="0.2">
      <c r="A18" s="120" t="s">
        <v>84</v>
      </c>
      <c r="B18" s="123">
        <f>IF($B$14="OK",(B13+SUM(B8:D8))/24+B15+B16+B17,"")</f>
        <v>1.5625</v>
      </c>
      <c r="C18" s="114"/>
      <c r="D18" s="114"/>
      <c r="E18" s="114"/>
      <c r="F18" s="114"/>
      <c r="G18" s="114"/>
      <c r="H18" s="114"/>
    </row>
    <row r="19" spans="1:8" ht="17" x14ac:dyDescent="0.2">
      <c r="A19" s="6" t="s">
        <v>199</v>
      </c>
      <c r="B19" s="123">
        <f>IF($B$14="OK",INDEX('Reparto proporcional'!$F$10:$F$28,MATCH($B$13,'Reparto proporcional'!$A$10:$A$28,0))+SUM(B8:D8)*(1-'Reparto proporcional'!$B$7)/24,"")</f>
        <v>1.5625</v>
      </c>
      <c r="C19" s="114"/>
      <c r="D19" s="114"/>
      <c r="E19" s="114"/>
      <c r="F19" s="114"/>
      <c r="G19" s="114"/>
      <c r="H19" s="114"/>
    </row>
    <row r="20" spans="1:8" ht="17" x14ac:dyDescent="0.2">
      <c r="A20" s="6" t="s">
        <v>21</v>
      </c>
      <c r="B20" s="122" t="str">
        <f>IF(NOT($B$14="OK"),"",IF($B$74&gt;0,"Aviso: B no llega; quedan "&amp;$B$74&amp;" h sin restar",IF(ROUND((B18-B19)*1440,0)=0,"OK","Revisar")))</f>
        <v>OK</v>
      </c>
      <c r="C20" s="114"/>
      <c r="D20" s="114"/>
      <c r="E20" s="114"/>
      <c r="F20" s="114"/>
      <c r="G20" s="114"/>
      <c r="H20" s="114"/>
    </row>
    <row r="21" spans="1:8" x14ac:dyDescent="0.2">
      <c r="A21" s="114"/>
      <c r="B21" s="114"/>
      <c r="C21" s="114"/>
      <c r="D21" s="114"/>
      <c r="E21" s="114"/>
      <c r="F21" s="114"/>
      <c r="G21" s="114"/>
      <c r="H21" s="114"/>
    </row>
    <row r="22" spans="1:8" x14ac:dyDescent="0.2">
      <c r="A22" s="4" t="s">
        <v>85</v>
      </c>
      <c r="B22" s="114"/>
      <c r="C22" s="114"/>
      <c r="D22" s="114"/>
      <c r="E22" s="114"/>
      <c r="F22" s="114"/>
      <c r="G22" s="114"/>
      <c r="H22" s="114"/>
    </row>
    <row r="23" spans="1:8" x14ac:dyDescent="0.2">
      <c r="A23" s="116" t="s">
        <v>86</v>
      </c>
      <c r="B23" s="117" t="str">
        <f>B6</f>
        <v>Centro 1</v>
      </c>
      <c r="C23" s="117" t="str">
        <f>C6</f>
        <v>Centro 2</v>
      </c>
      <c r="D23" s="117" t="str">
        <f>D6</f>
        <v>Centro 3</v>
      </c>
      <c r="E23" s="117" t="s">
        <v>87</v>
      </c>
      <c r="F23" s="114"/>
      <c r="G23" s="114"/>
      <c r="H23" s="114"/>
    </row>
    <row r="24" spans="1:8" ht="16" x14ac:dyDescent="0.2">
      <c r="A24" s="128" t="s">
        <v>200</v>
      </c>
      <c r="B24" s="129">
        <f>IF(OR(N(B$7)&lt;=0,NOT($B$14="OK")),"",(B$7+N(B$8))/24)</f>
        <v>0.58333333333333337</v>
      </c>
      <c r="C24" s="129">
        <f>IF(OR(N(C$7)&lt;=0,NOT($B$14="OK")),"",(C$7+N(C$8))/24)</f>
        <v>0.16666666666666666</v>
      </c>
      <c r="D24" s="129" t="str">
        <f>IF(OR(N(D$7)&lt;=0,NOT($B$14="OK")),"",(D$7+N(D$8))/24)</f>
        <v/>
      </c>
      <c r="E24" s="129">
        <f t="shared" ref="E24:E37" si="0">IF(NOT($B$14="OK"),"",SUM(B24:D24))</f>
        <v>0.75</v>
      </c>
      <c r="F24" s="114"/>
      <c r="G24" s="114"/>
      <c r="H24" s="114"/>
    </row>
    <row r="25" spans="1:8" ht="16" x14ac:dyDescent="0.2">
      <c r="A25" s="128" t="s">
        <v>81</v>
      </c>
      <c r="B25" s="129">
        <f>IF(OR(N(B$7)&lt;=0,NOT($B$14="OK")),"",B$73/24)</f>
        <v>0.20833333333333334</v>
      </c>
      <c r="C25" s="129">
        <f>IF(OR(N(C$7)&lt;=0,NOT($B$14="OK")),"",C$73/24)</f>
        <v>8.3333333333333329E-2</v>
      </c>
      <c r="D25" s="129" t="str">
        <f>IF(OR(N(D$7)&lt;=0,NOT($B$14="OK")),"",D$73/24)</f>
        <v/>
      </c>
      <c r="E25" s="129">
        <f t="shared" si="0"/>
        <v>0.29166666666666669</v>
      </c>
      <c r="F25" s="114"/>
      <c r="G25" s="114"/>
      <c r="H25" s="114"/>
    </row>
    <row r="26" spans="1:8" x14ac:dyDescent="0.2">
      <c r="A26" s="7" t="s">
        <v>88</v>
      </c>
      <c r="B26" s="130">
        <f>IF(OR(N(B$7)&lt;=0,NOT($B$14="OK")),"",INDEX($B$80:$B$87,B$73+1)/24)</f>
        <v>4.1666666666666664E-2</v>
      </c>
      <c r="C26" s="130">
        <f>IF(OR(N(C$7)&lt;=0,NOT($B$14="OK")),"",INDEX($B$80:$B$87,C$73+1)/24)</f>
        <v>0</v>
      </c>
      <c r="D26" s="130" t="str">
        <f>IF(OR(N(D$7)&lt;=0,NOT($B$14="OK")),"",INDEX($B$80:$B$87,D$73+1)/24)</f>
        <v/>
      </c>
      <c r="E26" s="136">
        <f t="shared" si="0"/>
        <v>4.1666666666666664E-2</v>
      </c>
      <c r="F26" s="156" t="s">
        <v>211</v>
      </c>
      <c r="G26" s="114"/>
      <c r="H26" s="114"/>
    </row>
    <row r="27" spans="1:8" x14ac:dyDescent="0.2">
      <c r="A27" s="7" t="s">
        <v>119</v>
      </c>
      <c r="B27" s="130">
        <f>IF(OR(N(B$7)&lt;=0,NOT($B$14="OK")),"",INDEX($C$80:$C$87,B$73+1)/24)</f>
        <v>4.1666666666666664E-2</v>
      </c>
      <c r="C27" s="130">
        <f>IF(OR(N(C$7)&lt;=0,NOT($B$14="OK")),"",INDEX($C$80:$C$87,C$73+1)/24)</f>
        <v>4.1666666666666664E-2</v>
      </c>
      <c r="D27" s="130" t="str">
        <f>IF(OR(N(D$7)&lt;=0,NOT($B$14="OK")),"",INDEX($C$80:$C$87,D$73+1)/24)</f>
        <v/>
      </c>
      <c r="E27" s="136">
        <f t="shared" si="0"/>
        <v>8.3333333333333329E-2</v>
      </c>
      <c r="F27" s="114"/>
      <c r="G27" s="114"/>
      <c r="H27" s="114"/>
    </row>
    <row r="28" spans="1:8" x14ac:dyDescent="0.2">
      <c r="A28" s="7" t="s">
        <v>89</v>
      </c>
      <c r="B28" s="130">
        <f>IF(OR(N(B$7)&lt;=0,NOT($B$14="OK")),"",INDEX($D$80:$D$87,B$73+1)/24)</f>
        <v>4.1666666666666664E-2</v>
      </c>
      <c r="C28" s="130">
        <f>IF(OR(N(C$7)&lt;=0,NOT($B$14="OK")),"",INDEX($D$80:$D$87,C$73+1)/24)</f>
        <v>4.1666666666666664E-2</v>
      </c>
      <c r="D28" s="130" t="str">
        <f>IF(OR(N(D$7)&lt;=0,NOT($B$14="OK")),"",INDEX($D$80:$D$87,D$73+1)/24)</f>
        <v/>
      </c>
      <c r="E28" s="136">
        <f t="shared" si="0"/>
        <v>8.3333333333333329E-2</v>
      </c>
      <c r="F28" s="114"/>
      <c r="G28" s="114"/>
      <c r="H28" s="114"/>
    </row>
    <row r="29" spans="1:8" x14ac:dyDescent="0.2">
      <c r="A29" s="7" t="s">
        <v>90</v>
      </c>
      <c r="B29" s="130">
        <f>IF(OR(N(B$7)&lt;=0,NOT($B$14="OK")),"",INDEX($E$80:$E$87,B$73+1)/24)</f>
        <v>8.3333333333333329E-2</v>
      </c>
      <c r="C29" s="130">
        <f>IF(OR(N(C$7)&lt;=0,NOT($B$14="OK")),"",INDEX($E$80:$E$87,C$73+1)/24)</f>
        <v>0</v>
      </c>
      <c r="D29" s="130" t="str">
        <f>IF(OR(N(D$7)&lt;=0,NOT($B$14="OK")),"",INDEX($E$80:$E$87,D$73+1)/24)</f>
        <v/>
      </c>
      <c r="E29" s="136">
        <f t="shared" si="0"/>
        <v>8.3333333333333329E-2</v>
      </c>
      <c r="F29" s="114"/>
      <c r="G29" s="114"/>
      <c r="H29" s="114"/>
    </row>
    <row r="30" spans="1:8" x14ac:dyDescent="0.2">
      <c r="A30" s="7" t="str">
        <f>"      · "&amp;F$79</f>
        <v xml:space="preserve">      · Otra 1</v>
      </c>
      <c r="B30" s="130">
        <f>IF(OR(N(B$7)&lt;=0,NOT($B$14="OK")),"",INDEX($F$80:$F$87,B$73+1)/24)</f>
        <v>0</v>
      </c>
      <c r="C30" s="130">
        <f>IF(OR(N(C$7)&lt;=0,NOT($B$14="OK")),"",INDEX($F$80:$F$87,C$73+1)/24)</f>
        <v>0</v>
      </c>
      <c r="D30" s="130" t="str">
        <f>IF(OR(N(D$7)&lt;=0,NOT($B$14="OK")),"",INDEX($F$80:$F$87,D$73+1)/24)</f>
        <v/>
      </c>
      <c r="E30" s="136">
        <f>IF(NOT($B$14="OK"),"",SUM(B30:D30))</f>
        <v>0</v>
      </c>
      <c r="F30" s="114"/>
      <c r="G30" s="114"/>
      <c r="H30" s="114"/>
    </row>
    <row r="31" spans="1:8" x14ac:dyDescent="0.2">
      <c r="A31" s="7" t="str">
        <f>"      · "&amp;G$79</f>
        <v xml:space="preserve">      · Otra 2</v>
      </c>
      <c r="B31" s="130">
        <f>IF(OR(N(B$7)&lt;=0,NOT($B$14="OK")),"",INDEX($G$80:$G$87,B$73+1)/24)</f>
        <v>0</v>
      </c>
      <c r="C31" s="130">
        <f>IF(OR(N(C$7)&lt;=0,NOT($B$14="OK")),"",INDEX($G$80:$G$87,C$73+1)/24)</f>
        <v>0</v>
      </c>
      <c r="D31" s="130" t="str">
        <f>IF(OR(N(D$7)&lt;=0,NOT($B$14="OK")),"",INDEX($G$80:$G$87,D$73+1)/24)</f>
        <v/>
      </c>
      <c r="E31" s="136">
        <f>IF(NOT($B$14="OK"),"",SUM(B31:D31))</f>
        <v>0</v>
      </c>
      <c r="F31" s="114"/>
      <c r="G31" s="114"/>
      <c r="H31" s="114"/>
    </row>
    <row r="32" spans="1:8" x14ac:dyDescent="0.2">
      <c r="A32" s="7" t="str">
        <f>"      · "&amp;H$79</f>
        <v xml:space="preserve">      · Otra 3</v>
      </c>
      <c r="B32" s="130">
        <f>IF(OR(N(B$7)&lt;=0,NOT($B$14="OK")),"",INDEX($H$80:$H$87,B$73+1)/24)</f>
        <v>0</v>
      </c>
      <c r="C32" s="130">
        <f>IF(OR(N(C$7)&lt;=0,NOT($B$14="OK")),"",INDEX($H$80:$H$87,C$73+1)/24)</f>
        <v>0</v>
      </c>
      <c r="D32" s="130" t="str">
        <f>IF(OR(N(D$7)&lt;=0,NOT($B$14="OK")),"",INDEX($H$80:$H$87,D$73+1)/24)</f>
        <v/>
      </c>
      <c r="E32" s="136">
        <f>IF(NOT($B$14="OK"),"",SUM(B32:D32))</f>
        <v>0</v>
      </c>
      <c r="F32" s="114"/>
      <c r="G32" s="114"/>
      <c r="H32" s="114"/>
    </row>
    <row r="33" spans="1:8" ht="16" x14ac:dyDescent="0.2">
      <c r="A33" s="128" t="s">
        <v>91</v>
      </c>
      <c r="B33" s="129">
        <f>IF(OR(N(B$7)&lt;=0,NOT($B$14="OK")),"",B$65)</f>
        <v>0.16180555555555556</v>
      </c>
      <c r="C33" s="129">
        <f>IF(OR(N(C$7)&lt;=0,NOT($B$14="OK")),"",C$65)</f>
        <v>4.6527777777777779E-2</v>
      </c>
      <c r="D33" s="129" t="str">
        <f>IF(OR(N(D$7)&lt;=0,NOT($B$14="OK")),"",D$65)</f>
        <v/>
      </c>
      <c r="E33" s="129">
        <f t="shared" si="0"/>
        <v>0.20833333333333334</v>
      </c>
      <c r="F33" s="114"/>
      <c r="G33" s="114"/>
      <c r="H33" s="114"/>
    </row>
    <row r="34" spans="1:8" ht="16" x14ac:dyDescent="0.2">
      <c r="A34" s="128" t="s">
        <v>83</v>
      </c>
      <c r="B34" s="129">
        <f>IF(OR(N(B$7)&lt;=0,NOT($B$14="OK")),"",B$66)</f>
        <v>0.24305555555555555</v>
      </c>
      <c r="C34" s="129">
        <f>IF(OR(N(C$7)&lt;=0,NOT($B$14="OK")),"",C$66)</f>
        <v>6.9444444444444448E-2</v>
      </c>
      <c r="D34" s="129" t="str">
        <f>IF(OR(N(D$7)&lt;=0,NOT($B$14="OK")),"",D$66)</f>
        <v/>
      </c>
      <c r="E34" s="129">
        <f t="shared" si="0"/>
        <v>0.3125</v>
      </c>
      <c r="F34" s="114"/>
      <c r="G34" s="114"/>
      <c r="H34" s="114"/>
    </row>
    <row r="35" spans="1:8" ht="16" x14ac:dyDescent="0.2">
      <c r="A35" s="125" t="s">
        <v>8</v>
      </c>
      <c r="B35" s="126">
        <f>IF(OR(N(B$7)&lt;=0,NOT($B$14="OK")),"",B24+B25)</f>
        <v>0.79166666666666674</v>
      </c>
      <c r="C35" s="126">
        <f>IF(OR(N(C$7)&lt;=0,NOT($B$14="OK")),"",C24+C25)</f>
        <v>0.25</v>
      </c>
      <c r="D35" s="126" t="str">
        <f>IF(OR(N(D$7)&lt;=0,NOT($B$14="OK")),"",D24+D25)</f>
        <v/>
      </c>
      <c r="E35" s="129">
        <f t="shared" si="0"/>
        <v>1.0416666666666667</v>
      </c>
      <c r="F35" s="114"/>
      <c r="G35" s="114"/>
      <c r="H35" s="114"/>
    </row>
    <row r="36" spans="1:8" ht="16" x14ac:dyDescent="0.2">
      <c r="A36" s="134" t="s">
        <v>9</v>
      </c>
      <c r="B36" s="135">
        <f>IF(OR(N(B$7)&lt;=0,NOT($B$14="OK")),"",B24+B25+B33+B34)</f>
        <v>1.1965277777777779</v>
      </c>
      <c r="C36" s="135">
        <f>IF(OR(N(C$7)&lt;=0,NOT($B$14="OK")),"",C24+C25+C33+C34)</f>
        <v>0.36597222222222225</v>
      </c>
      <c r="D36" s="135" t="str">
        <f>IF(OR(N(D$7)&lt;=0,NOT($B$14="OK")),"",D24+D25+D33+D34)</f>
        <v/>
      </c>
      <c r="E36" s="135">
        <f t="shared" si="0"/>
        <v>1.5625</v>
      </c>
      <c r="F36" s="114"/>
      <c r="G36" s="114"/>
      <c r="H36" s="114"/>
    </row>
    <row r="37" spans="1:8" x14ac:dyDescent="0.2">
      <c r="A37" s="131" t="s">
        <v>92</v>
      </c>
      <c r="B37" s="132">
        <f>IF(OR(N(B$7)&lt;=0,NOT($B$14="OK")),"",($B$19-SUM($B$8:$D$8)*(1-'Reparto proporcional'!$B$7)/24)*B$54+N(B$8)*(1-'Reparto proporcional'!$B$7)/24)</f>
        <v>1.2152777777777779</v>
      </c>
      <c r="C37" s="132">
        <f>IF(OR(N(C$7)&lt;=0,NOT($B$14="OK")),"",($B$19-SUM($B$8:$D$8)*(1-'Reparto proporcional'!$B$7)/24)*C$54+N(C$8)*(1-'Reparto proporcional'!$B$7)/24)</f>
        <v>0.34722222222222221</v>
      </c>
      <c r="D37" s="132" t="str">
        <f>IF(OR(N(D$7)&lt;=0,NOT($B$14="OK")),"",($B$19-SUM($B$8:$D$8)*(1-'Reparto proporcional'!$B$7)/24)*D$54+N(D$8)*(1-'Reparto proporcional'!$B$7)/24)</f>
        <v/>
      </c>
      <c r="E37" s="137">
        <f t="shared" si="0"/>
        <v>1.5625</v>
      </c>
      <c r="F37" s="114"/>
      <c r="G37" s="114"/>
      <c r="H37" s="114"/>
    </row>
    <row r="38" spans="1:8" x14ac:dyDescent="0.2">
      <c r="A38" s="131" t="s">
        <v>93</v>
      </c>
      <c r="B38" s="133">
        <f>IF(OR(N(B$7)&lt;=0,NOT($B$14="OK")),"",ROUND((B36-B37)*1440,0))</f>
        <v>-27</v>
      </c>
      <c r="C38" s="133">
        <f>IF(OR(N(C$7)&lt;=0,NOT($B$14="OK")),"",ROUND((C36-C37)*1440,0))</f>
        <v>27</v>
      </c>
      <c r="D38" s="133" t="str">
        <f>IF(OR(N(D$7)&lt;=0,NOT($B$14="OK")),"",ROUND((D36-D37)*1440,0))</f>
        <v/>
      </c>
      <c r="E38" s="138">
        <f>IF(NOT($B$14="OK"),"",ROUND((E36-E37)*1440,0))</f>
        <v>0</v>
      </c>
      <c r="F38" s="114"/>
      <c r="G38" s="114"/>
      <c r="H38" s="114"/>
    </row>
    <row r="39" spans="1:8" ht="16" x14ac:dyDescent="0.2">
      <c r="A39" s="125" t="s">
        <v>94</v>
      </c>
      <c r="B39" s="127" t="str">
        <f>IF(OR(N(B$7)&lt;=0,NOT($B$14="OK")),"",IF(ROUND((SUM(B26:B32)-B25)*1440,0)=0,"OK","Revisar"))</f>
        <v>OK</v>
      </c>
      <c r="C39" s="127" t="str">
        <f>IF(OR(N(C$7)&lt;=0,NOT($B$14="OK")),"",IF(ROUND((SUM(C26:C32)-C25)*1440,0)=0,"OK","Revisar"))</f>
        <v>OK</v>
      </c>
      <c r="D39" s="127" t="str">
        <f>IF(OR(N(D$7)&lt;=0,NOT($B$14="OK")),"",IF(ROUND((SUM(D26:D32)-D25)*1440,0)=0,"OK","Revisar"))</f>
        <v/>
      </c>
      <c r="E39" s="139" t="str">
        <f>IF(NOT($B$14="OK"),"",IF(ROUND((E36-$B$19)*1440,0)=0,"OK","Revisar"))</f>
        <v>OK</v>
      </c>
      <c r="F39" s="114"/>
      <c r="G39" s="114"/>
      <c r="H39" s="114"/>
    </row>
    <row r="40" spans="1:8" x14ac:dyDescent="0.2">
      <c r="A40" s="114"/>
      <c r="B40" s="114"/>
      <c r="C40" s="114"/>
      <c r="D40" s="114"/>
      <c r="E40" s="114"/>
      <c r="F40" s="114"/>
      <c r="G40" s="114"/>
      <c r="H40" s="114"/>
    </row>
    <row r="41" spans="1:8" x14ac:dyDescent="0.2">
      <c r="A41" s="4" t="s">
        <v>27</v>
      </c>
      <c r="B41" s="114"/>
      <c r="C41" s="114"/>
      <c r="D41" s="114"/>
      <c r="E41" s="114"/>
      <c r="F41" s="114"/>
      <c r="G41" s="114"/>
      <c r="H41" s="114"/>
    </row>
    <row r="42" spans="1:8" x14ac:dyDescent="0.2">
      <c r="A42" s="140" t="s">
        <v>95</v>
      </c>
      <c r="B42" s="114"/>
      <c r="C42" s="114"/>
      <c r="D42" s="114"/>
      <c r="E42" s="114"/>
      <c r="F42" s="114"/>
      <c r="G42" s="114"/>
      <c r="H42" s="114"/>
    </row>
    <row r="43" spans="1:8" x14ac:dyDescent="0.2">
      <c r="A43" s="140" t="s">
        <v>96</v>
      </c>
      <c r="B43" s="114"/>
      <c r="C43" s="114"/>
      <c r="D43" s="114"/>
      <c r="E43" s="114"/>
      <c r="F43" s="114"/>
      <c r="G43" s="114"/>
      <c r="H43" s="114"/>
    </row>
    <row r="44" spans="1:8" x14ac:dyDescent="0.2">
      <c r="A44" s="140" t="s">
        <v>97</v>
      </c>
      <c r="B44" s="114"/>
      <c r="C44" s="114"/>
      <c r="D44" s="114"/>
      <c r="E44" s="114"/>
      <c r="F44" s="114"/>
      <c r="G44" s="114"/>
      <c r="H44" s="114"/>
    </row>
    <row r="45" spans="1:8" x14ac:dyDescent="0.2">
      <c r="A45" s="140" t="s">
        <v>98</v>
      </c>
      <c r="B45" s="114"/>
      <c r="C45" s="114"/>
      <c r="D45" s="114"/>
      <c r="E45" s="114"/>
      <c r="F45" s="114"/>
      <c r="G45" s="114"/>
      <c r="H45" s="114"/>
    </row>
    <row r="46" spans="1:8" x14ac:dyDescent="0.2">
      <c r="A46" s="140" t="s">
        <v>121</v>
      </c>
      <c r="B46" s="114"/>
      <c r="C46" s="114"/>
      <c r="D46" s="114"/>
      <c r="E46" s="114"/>
      <c r="F46" s="114"/>
      <c r="G46" s="114"/>
      <c r="H46" s="114"/>
    </row>
    <row r="47" spans="1:8" x14ac:dyDescent="0.2">
      <c r="A47" s="140" t="s">
        <v>209</v>
      </c>
      <c r="B47" s="114"/>
      <c r="C47" s="114"/>
      <c r="D47" s="114"/>
      <c r="E47" s="114"/>
      <c r="F47" s="114"/>
      <c r="G47" s="114"/>
      <c r="H47" s="114"/>
    </row>
    <row r="48" spans="1:8" x14ac:dyDescent="0.2">
      <c r="A48" s="140" t="s">
        <v>210</v>
      </c>
      <c r="B48" s="114"/>
      <c r="C48" s="114"/>
      <c r="D48" s="114"/>
      <c r="E48" s="114"/>
      <c r="F48" s="114"/>
      <c r="G48" s="114"/>
      <c r="H48" s="114"/>
    </row>
    <row r="49" spans="1:8" x14ac:dyDescent="0.2">
      <c r="A49" s="114"/>
      <c r="B49" s="114"/>
      <c r="C49" s="114"/>
      <c r="D49" s="114"/>
      <c r="E49" s="114"/>
      <c r="F49" s="114"/>
      <c r="G49" s="114"/>
      <c r="H49" s="114"/>
    </row>
    <row r="50" spans="1:8" x14ac:dyDescent="0.2">
      <c r="A50" s="114"/>
      <c r="B50" s="114"/>
      <c r="C50" s="114"/>
      <c r="D50" s="114"/>
      <c r="E50" s="114"/>
      <c r="F50" s="114"/>
      <c r="G50" s="114"/>
      <c r="H50" s="114"/>
    </row>
    <row r="51" spans="1:8" x14ac:dyDescent="0.2">
      <c r="A51" s="4" t="s">
        <v>99</v>
      </c>
      <c r="B51" s="114"/>
      <c r="C51" s="114"/>
      <c r="D51" s="114"/>
      <c r="E51" s="114"/>
      <c r="F51" s="114"/>
      <c r="G51" s="114"/>
      <c r="H51" s="114"/>
    </row>
    <row r="52" spans="1:8" x14ac:dyDescent="0.2">
      <c r="A52" s="141" t="s">
        <v>100</v>
      </c>
      <c r="B52" s="142">
        <v>1</v>
      </c>
      <c r="C52" s="142">
        <v>2</v>
      </c>
      <c r="D52" s="142">
        <v>3</v>
      </c>
      <c r="E52" s="141"/>
      <c r="F52" s="114"/>
      <c r="G52" s="114"/>
      <c r="H52" s="114"/>
    </row>
    <row r="53" spans="1:8" x14ac:dyDescent="0.2">
      <c r="A53" s="141" t="s">
        <v>14</v>
      </c>
      <c r="B53" s="143">
        <f>N(B7)</f>
        <v>14</v>
      </c>
      <c r="C53" s="143">
        <f>N(C7)</f>
        <v>4</v>
      </c>
      <c r="D53" s="143">
        <f>N(D7)</f>
        <v>0</v>
      </c>
      <c r="E53" s="141"/>
      <c r="F53" s="114"/>
      <c r="G53" s="114"/>
      <c r="H53" s="114"/>
    </row>
    <row r="54" spans="1:8" x14ac:dyDescent="0.2">
      <c r="A54" s="141" t="s">
        <v>101</v>
      </c>
      <c r="B54" s="144">
        <f>IF($B$13&gt;0,B53/$B$13,0)</f>
        <v>0.77777777777777779</v>
      </c>
      <c r="C54" s="144">
        <f>IF($B$13&gt;0,C53/$B$13,0)</f>
        <v>0.22222222222222221</v>
      </c>
      <c r="D54" s="144">
        <f>IF($B$13&gt;0,D53/$B$13,0)</f>
        <v>0</v>
      </c>
      <c r="E54" s="141"/>
      <c r="F54" s="114"/>
      <c r="G54" s="114"/>
      <c r="H54" s="114"/>
    </row>
    <row r="55" spans="1:8" x14ac:dyDescent="0.2">
      <c r="A55" s="141" t="s">
        <v>102</v>
      </c>
      <c r="B55" s="145">
        <f>IF($B$14="OK",$B$67*B54,0)</f>
        <v>5.4444444444444446</v>
      </c>
      <c r="C55" s="145">
        <f>IF($B$14="OK",$B$67*C54,0)</f>
        <v>1.5555555555555554</v>
      </c>
      <c r="D55" s="145">
        <f>IF($B$14="OK",$B$67*D54,0)</f>
        <v>0</v>
      </c>
      <c r="E55" s="141"/>
      <c r="F55" s="114"/>
      <c r="G55" s="114"/>
      <c r="H55" s="114"/>
    </row>
    <row r="56" spans="1:8" x14ac:dyDescent="0.2">
      <c r="A56" s="141" t="s">
        <v>103</v>
      </c>
      <c r="B56" s="143">
        <f>INT(ROUND(B55,9))</f>
        <v>5</v>
      </c>
      <c r="C56" s="143">
        <f>INT(ROUND(C55,9))</f>
        <v>1</v>
      </c>
      <c r="D56" s="143">
        <f>INT(ROUND(D55,9))</f>
        <v>0</v>
      </c>
      <c r="E56" s="141"/>
      <c r="F56" s="114"/>
      <c r="G56" s="114"/>
      <c r="H56" s="114"/>
    </row>
    <row r="57" spans="1:8" x14ac:dyDescent="0.2">
      <c r="A57" s="141" t="s">
        <v>104</v>
      </c>
      <c r="B57" s="145">
        <f>B55-B56</f>
        <v>0.44444444444444464</v>
      </c>
      <c r="C57" s="145">
        <f>C55-C56</f>
        <v>0.55555555555555536</v>
      </c>
      <c r="D57" s="145">
        <f>D55-D56</f>
        <v>0</v>
      </c>
      <c r="E57" s="141"/>
      <c r="F57" s="114"/>
      <c r="G57" s="114"/>
      <c r="H57" s="114"/>
    </row>
    <row r="58" spans="1:8" x14ac:dyDescent="0.2">
      <c r="A58" s="141" t="s">
        <v>111</v>
      </c>
      <c r="B58" s="142">
        <f>IF($B$14="OK",$B$67-SUM(B56:D56),0)</f>
        <v>1</v>
      </c>
      <c r="C58" s="142"/>
      <c r="D58" s="142"/>
      <c r="E58" s="141"/>
      <c r="F58" s="114"/>
      <c r="G58" s="114"/>
      <c r="H58" s="114"/>
    </row>
    <row r="59" spans="1:8" x14ac:dyDescent="0.2">
      <c r="A59" s="141" t="s">
        <v>105</v>
      </c>
      <c r="B59" s="145">
        <f>IF(B53&lt;=0,-1,IF($B$10="Al centro con más lectivas",B53*1000+B57*10-B52/10,IF($B$10="Al centro con menos lectivas",(21-B53)*1000+B57*10-B52/10,IF($B$10="Al centro de adscripción",(B52=$B$9)*100000+B57*1000+B53-B52/10,B57*1000+B53-B52/10))))</f>
        <v>458.3444444444446</v>
      </c>
      <c r="C59" s="145">
        <f>IF(C53&lt;=0,-1,IF($B$10="Al centro con más lectivas",C53*1000+C57*10-C52/10,IF($B$10="Al centro con menos lectivas",(21-C53)*1000+C57*10-C52/10,IF($B$10="Al centro de adscripción",(C52=$B$9)*100000+C57*1000+C53-C52/10,C57*1000+C53-C52/10))))</f>
        <v>559.35555555555527</v>
      </c>
      <c r="D59" s="145">
        <f>IF(D53&lt;=0,-1,IF($B$10="Al centro con más lectivas",D53*1000+D57*10-D52/10,IF($B$10="Al centro con menos lectivas",(21-D53)*1000+D57*10-D52/10,IF($B$10="Al centro de adscripción",(D52=$B$9)*100000+D57*1000+D53-D52/10,D57*1000+D53-D52/10))))</f>
        <v>-1</v>
      </c>
      <c r="E59" s="141"/>
      <c r="F59" s="114"/>
      <c r="G59" s="114"/>
      <c r="H59" s="114"/>
    </row>
    <row r="60" spans="1:8" x14ac:dyDescent="0.2">
      <c r="A60" s="141" t="s">
        <v>106</v>
      </c>
      <c r="B60" s="143">
        <f>IF(B53&lt;=0,"",SUMPRODUCT(--($B$59:$D$59&gt;B59))+1)</f>
        <v>2</v>
      </c>
      <c r="C60" s="143">
        <f>IF(C53&lt;=0,"",SUMPRODUCT(--($B$59:$D$59&gt;C59))+1)</f>
        <v>1</v>
      </c>
      <c r="D60" s="143" t="str">
        <f>IF(D53&lt;=0,"",SUMPRODUCT(--($B$59:$D$59&gt;D59))+1)</f>
        <v/>
      </c>
      <c r="E60" s="141"/>
      <c r="F60" s="114"/>
      <c r="G60" s="114"/>
      <c r="H60" s="114"/>
    </row>
    <row r="61" spans="1:8" x14ac:dyDescent="0.2">
      <c r="A61" s="141" t="s">
        <v>107</v>
      </c>
      <c r="B61" s="143">
        <f>IF(B53&lt;=0,0,B56+IF(B60&lt;=$B$58,1,0))</f>
        <v>5</v>
      </c>
      <c r="C61" s="143">
        <f>IF(C53&lt;=0,0,C56+IF(C60&lt;=$B$58,1,0))</f>
        <v>2</v>
      </c>
      <c r="D61" s="143">
        <f>IF(D53&lt;=0,0,D56+IF(D60&lt;=$B$58,1,0))</f>
        <v>0</v>
      </c>
      <c r="E61" s="141"/>
      <c r="F61" s="114"/>
      <c r="G61" s="114"/>
      <c r="H61" s="114"/>
    </row>
    <row r="62" spans="1:8" x14ac:dyDescent="0.2">
      <c r="A62" s="141" t="s">
        <v>108</v>
      </c>
      <c r="B62" s="146">
        <f>IF($B$14="OK",ROUND($B$16*B54*1440,0)/1440,0)</f>
        <v>0.16180555555555556</v>
      </c>
      <c r="C62" s="146">
        <f>IF($B$14="OK",ROUND($B$16*C54*1440,0)/1440,0)</f>
        <v>4.6527777777777779E-2</v>
      </c>
      <c r="D62" s="146">
        <f>IF($B$14="OK",ROUND($B$16*D54*1440,0)/1440,0)</f>
        <v>0</v>
      </c>
      <c r="E62" s="141"/>
      <c r="F62" s="114"/>
      <c r="G62" s="114"/>
      <c r="H62" s="114"/>
    </row>
    <row r="63" spans="1:8" x14ac:dyDescent="0.2">
      <c r="A63" s="141" t="s">
        <v>109</v>
      </c>
      <c r="B63" s="146">
        <f>IF($B$14="OK",ROUND($B$17*B54*1440,0)/1440,0)</f>
        <v>0.24305555555555555</v>
      </c>
      <c r="C63" s="146">
        <f>IF($B$14="OK",ROUND($B$17*C54*1440,0)/1440,0)</f>
        <v>6.9444444444444448E-2</v>
      </c>
      <c r="D63" s="146">
        <f>IF($B$14="OK",ROUND($B$17*D54*1440,0)/1440,0)</f>
        <v>0</v>
      </c>
      <c r="E63" s="141"/>
      <c r="F63" s="114"/>
      <c r="G63" s="114"/>
      <c r="H63" s="114"/>
    </row>
    <row r="64" spans="1:8" x14ac:dyDescent="0.2">
      <c r="A64" s="141" t="s">
        <v>110</v>
      </c>
      <c r="B64" s="143">
        <f>IF(AND(B53&gt;0,B53=MAX($B$53:$D$53),SUMPRODUCT(($B$52:$D$52&lt;B52)*($B$53:$D$53=MAX($B$53:$D$53)))=0),1,0)</f>
        <v>1</v>
      </c>
      <c r="C64" s="143">
        <f>IF(AND(C53&gt;0,C53=MAX($B$53:$D$53),SUMPRODUCT(($B$52:$D$52&lt;C52)*($B$53:$D$53=MAX($B$53:$D$53)))=0),1,0)</f>
        <v>0</v>
      </c>
      <c r="D64" s="143">
        <f>IF(AND(D53&gt;0,D53=MAX($B$53:$D$53),SUMPRODUCT(($B$52:$D$52&lt;D52)*($B$53:$D$53=MAX($B$53:$D$53)))=0),1,0)</f>
        <v>0</v>
      </c>
      <c r="E64" s="141"/>
      <c r="F64" s="114"/>
      <c r="G64" s="114"/>
      <c r="H64" s="114"/>
    </row>
    <row r="65" spans="1:11" x14ac:dyDescent="0.2">
      <c r="A65" s="141" t="s">
        <v>35</v>
      </c>
      <c r="B65" s="146">
        <f>IF($B$14="OK",B62+B64*($B$16-SUM($B$62:$D$62)),0)</f>
        <v>0.16180555555555556</v>
      </c>
      <c r="C65" s="146">
        <f>IF($B$14="OK",C62+C64*($B$16-SUM($B$62:$D$62)),0)</f>
        <v>4.6527777777777779E-2</v>
      </c>
      <c r="D65" s="146">
        <f>IF($B$14="OK",D62+D64*($B$16-SUM($B$62:$D$62)),0)</f>
        <v>0</v>
      </c>
      <c r="E65" s="141"/>
      <c r="F65" s="114"/>
      <c r="G65" s="114"/>
      <c r="H65" s="114"/>
    </row>
    <row r="66" spans="1:11" x14ac:dyDescent="0.2">
      <c r="A66" s="141" t="s">
        <v>23</v>
      </c>
      <c r="B66" s="146">
        <f>IF($B$14="OK",B63+B64*($B$17-SUM($B$63:$D$63)),0)</f>
        <v>0.24305555555555555</v>
      </c>
      <c r="C66" s="146">
        <f>IF($B$14="OK",C63+C64*($B$17-SUM($B$63:$D$63)),0)</f>
        <v>6.9444444444444448E-2</v>
      </c>
      <c r="D66" s="146">
        <f>IF($B$14="OK",D63+D64*($B$17-SUM($B$63:$D$63)),0)</f>
        <v>0</v>
      </c>
      <c r="E66" s="141"/>
      <c r="F66" s="114"/>
      <c r="G66" s="114"/>
      <c r="H66" s="114"/>
    </row>
    <row r="67" spans="1:11" x14ac:dyDescent="0.2">
      <c r="A67" s="141" t="s">
        <v>201</v>
      </c>
      <c r="B67" s="143">
        <f>IF($B$14="OK",INDEX('Complementarias por bloques'!$I$7:$I$25,MATCH($B$13,'Complementarias por bloques'!$A$7:$A$25,0)),0)</f>
        <v>7</v>
      </c>
      <c r="C67" s="143"/>
      <c r="D67" s="143"/>
      <c r="E67" s="141"/>
      <c r="F67" s="114"/>
      <c r="G67" s="114"/>
      <c r="H67" s="114"/>
    </row>
    <row r="68" spans="1:11" x14ac:dyDescent="0.2">
      <c r="A68" s="141" t="s">
        <v>202</v>
      </c>
      <c r="B68" s="143">
        <f>IF(B53&lt;=0,0,'Reparto proporcional'!$B$7*N(B$8))</f>
        <v>0</v>
      </c>
      <c r="C68" s="143">
        <f>IF(C53&lt;=0,0,'Reparto proporcional'!$B$7*N(C$8))</f>
        <v>0</v>
      </c>
      <c r="D68" s="143">
        <f>IF(D53&lt;=0,0,'Reparto proporcional'!$B$7*N(D$8))</f>
        <v>0</v>
      </c>
      <c r="E68" s="141"/>
      <c r="F68" s="114"/>
      <c r="G68" s="114"/>
      <c r="H68" s="114"/>
    </row>
    <row r="69" spans="1:11" x14ac:dyDescent="0.2">
      <c r="A69" s="141" t="s">
        <v>203</v>
      </c>
      <c r="B69" s="143">
        <f>MIN(B61,B68)</f>
        <v>0</v>
      </c>
      <c r="C69" s="143">
        <f>MIN(C61,C68)</f>
        <v>0</v>
      </c>
      <c r="D69" s="143">
        <f>MIN(D61,D68)</f>
        <v>0</v>
      </c>
      <c r="E69" s="141"/>
      <c r="F69" s="114"/>
      <c r="G69" s="114"/>
      <c r="H69" s="114"/>
    </row>
    <row r="70" spans="1:11" x14ac:dyDescent="0.2">
      <c r="A70" s="141" t="s">
        <v>204</v>
      </c>
      <c r="B70" s="143">
        <f>B61-B69</f>
        <v>5</v>
      </c>
      <c r="C70" s="143">
        <f>C61-C69</f>
        <v>2</v>
      </c>
      <c r="D70" s="143">
        <f>D61-D69</f>
        <v>0</v>
      </c>
      <c r="E70" s="141"/>
      <c r="F70" s="114"/>
      <c r="G70" s="114"/>
      <c r="H70" s="114"/>
    </row>
    <row r="71" spans="1:11" x14ac:dyDescent="0.2">
      <c r="A71" s="141" t="s">
        <v>205</v>
      </c>
      <c r="B71" s="143">
        <f>SUMPRODUCT(--($B$70:$D$70&gt;B70))+SUMPRODUCT(--($B$70:$D$70=B70),--($B$52:$D$52&lt;B52))+1</f>
        <v>1</v>
      </c>
      <c r="C71" s="143">
        <f>SUMPRODUCT(--($B$70:$D$70&gt;C70))+SUMPRODUCT(--($B$70:$D$70=C70),--($B$52:$D$52&lt;C52))+1</f>
        <v>2</v>
      </c>
      <c r="D71" s="143">
        <f>SUMPRODUCT(--($B$70:$D$70&gt;D70))+SUMPRODUCT(--($B$70:$D$70=D70),--($B$52:$D$52&lt;D52))+1</f>
        <v>3</v>
      </c>
      <c r="E71" s="141"/>
      <c r="F71" s="114"/>
      <c r="G71" s="114"/>
      <c r="H71" s="114"/>
    </row>
    <row r="72" spans="1:11" x14ac:dyDescent="0.2">
      <c r="A72" s="141" t="s">
        <v>206</v>
      </c>
      <c r="B72" s="143">
        <f>MIN(B70,MAX(0,SUM($B$68:$D$68)-SUM($B$69:$D$69)-SUMPRODUCT(($B$71:$D$71&lt;B71)*$B$70:$D$70)))</f>
        <v>0</v>
      </c>
      <c r="C72" s="143">
        <f>MIN(C70,MAX(0,SUM($B$68:$D$68)-SUM($B$69:$D$69)-SUMPRODUCT(($B$71:$D$71&lt;C71)*$B$70:$D$70)))</f>
        <v>0</v>
      </c>
      <c r="D72" s="143">
        <f>MIN(D70,MAX(0,SUM($B$68:$D$68)-SUM($B$69:$D$69)-SUMPRODUCT(($B$71:$D$71&lt;D71)*$B$70:$D$70)))</f>
        <v>0</v>
      </c>
      <c r="E72" s="141"/>
      <c r="F72" s="114"/>
      <c r="G72" s="114"/>
      <c r="H72" s="114"/>
    </row>
    <row r="73" spans="1:11" x14ac:dyDescent="0.2">
      <c r="A73" s="141" t="s">
        <v>207</v>
      </c>
      <c r="B73" s="143">
        <f>B70-B72</f>
        <v>5</v>
      </c>
      <c r="C73" s="143">
        <f>C70-C72</f>
        <v>2</v>
      </c>
      <c r="D73" s="143">
        <f>D70-D72</f>
        <v>0</v>
      </c>
      <c r="E73" s="141"/>
      <c r="F73" s="114"/>
      <c r="G73" s="114"/>
      <c r="H73" s="114"/>
    </row>
    <row r="74" spans="1:11" x14ac:dyDescent="0.2">
      <c r="A74" s="141" t="s">
        <v>208</v>
      </c>
      <c r="B74" s="143">
        <f>MAX(0,SUM($B$68:$D$68)-SUM($B$69:$D$69)-SUM($B$70:$D$70))</f>
        <v>0</v>
      </c>
      <c r="C74" s="143"/>
      <c r="D74" s="143"/>
      <c r="E74" s="141"/>
      <c r="F74" s="114"/>
      <c r="G74" s="114"/>
      <c r="H74" s="114"/>
    </row>
    <row r="75" spans="1:11" x14ac:dyDescent="0.2">
      <c r="A75" s="114"/>
      <c r="B75" s="114"/>
      <c r="C75" s="114"/>
      <c r="D75" s="114"/>
      <c r="E75" s="114"/>
      <c r="F75" s="114"/>
      <c r="G75" s="114"/>
      <c r="H75" s="114"/>
    </row>
    <row r="76" spans="1:11" x14ac:dyDescent="0.2">
      <c r="A76" s="114"/>
      <c r="B76" s="114"/>
      <c r="C76" s="114"/>
      <c r="D76" s="114"/>
      <c r="E76" s="114"/>
      <c r="F76" s="114"/>
      <c r="G76" s="114"/>
      <c r="H76" s="114"/>
    </row>
    <row r="77" spans="1:11" x14ac:dyDescent="0.2">
      <c r="A77" s="114"/>
      <c r="B77" s="114"/>
      <c r="C77" s="114"/>
      <c r="D77" s="114"/>
      <c r="E77" s="114"/>
      <c r="F77" s="114"/>
      <c r="G77" s="114"/>
      <c r="H77" s="114"/>
    </row>
    <row r="78" spans="1:11" x14ac:dyDescent="0.2">
      <c r="A78" s="4" t="s">
        <v>212</v>
      </c>
      <c r="B78" s="114"/>
      <c r="C78" s="114"/>
      <c r="D78" s="114"/>
      <c r="E78" s="114"/>
      <c r="F78" s="114"/>
      <c r="G78" s="114"/>
      <c r="H78" s="114"/>
    </row>
    <row r="79" spans="1:11" ht="31" x14ac:dyDescent="0.2">
      <c r="A79" s="147" t="s">
        <v>107</v>
      </c>
      <c r="B79" s="147" t="s">
        <v>15</v>
      </c>
      <c r="C79" s="147" t="s">
        <v>120</v>
      </c>
      <c r="D79" s="147" t="s">
        <v>16</v>
      </c>
      <c r="E79" s="147" t="s">
        <v>112</v>
      </c>
      <c r="F79" s="155" t="s">
        <v>125</v>
      </c>
      <c r="G79" s="155" t="s">
        <v>126</v>
      </c>
      <c r="H79" s="155" t="s">
        <v>127</v>
      </c>
      <c r="I79" s="147" t="s">
        <v>113</v>
      </c>
      <c r="J79" s="147" t="s">
        <v>21</v>
      </c>
      <c r="K79" s="114"/>
    </row>
    <row r="80" spans="1:11" x14ac:dyDescent="0.2">
      <c r="A80" s="148">
        <v>0</v>
      </c>
      <c r="B80" s="118">
        <v>0</v>
      </c>
      <c r="C80" s="118">
        <v>0</v>
      </c>
      <c r="D80" s="118">
        <v>0</v>
      </c>
      <c r="E80" s="118">
        <v>0</v>
      </c>
      <c r="F80" s="118">
        <v>0</v>
      </c>
      <c r="G80" s="118">
        <v>0</v>
      </c>
      <c r="H80" s="118">
        <v>0</v>
      </c>
      <c r="I80" s="124">
        <f t="shared" ref="I80:I87" si="1">SUM(B80:H80)</f>
        <v>0</v>
      </c>
      <c r="J80" s="124" t="str">
        <f t="shared" ref="J80:J87" si="2">IF(I80=A80,"OK","Revisar")</f>
        <v>OK</v>
      </c>
      <c r="K80" s="114"/>
    </row>
    <row r="81" spans="1:11" x14ac:dyDescent="0.2">
      <c r="A81" s="148">
        <v>1</v>
      </c>
      <c r="B81" s="118">
        <v>0</v>
      </c>
      <c r="C81" s="118">
        <v>0</v>
      </c>
      <c r="D81" s="118">
        <v>1</v>
      </c>
      <c r="E81" s="118">
        <v>0</v>
      </c>
      <c r="F81" s="118">
        <v>0</v>
      </c>
      <c r="G81" s="118">
        <v>0</v>
      </c>
      <c r="H81" s="118">
        <v>0</v>
      </c>
      <c r="I81" s="124">
        <f t="shared" si="1"/>
        <v>1</v>
      </c>
      <c r="J81" s="124" t="str">
        <f t="shared" si="2"/>
        <v>OK</v>
      </c>
      <c r="K81" s="114"/>
    </row>
    <row r="82" spans="1:11" x14ac:dyDescent="0.2">
      <c r="A82" s="148">
        <v>2</v>
      </c>
      <c r="B82" s="118">
        <v>0</v>
      </c>
      <c r="C82" s="118">
        <v>1</v>
      </c>
      <c r="D82" s="118">
        <v>1</v>
      </c>
      <c r="E82" s="118">
        <v>0</v>
      </c>
      <c r="F82" s="118">
        <v>0</v>
      </c>
      <c r="G82" s="118">
        <v>0</v>
      </c>
      <c r="H82" s="118">
        <v>0</v>
      </c>
      <c r="I82" s="124">
        <f t="shared" si="1"/>
        <v>2</v>
      </c>
      <c r="J82" s="124" t="str">
        <f t="shared" si="2"/>
        <v>OK</v>
      </c>
      <c r="K82" s="114"/>
    </row>
    <row r="83" spans="1:11" x14ac:dyDescent="0.2">
      <c r="A83" s="148">
        <v>3</v>
      </c>
      <c r="B83" s="118">
        <v>0</v>
      </c>
      <c r="C83" s="118">
        <v>1</v>
      </c>
      <c r="D83" s="118">
        <v>1</v>
      </c>
      <c r="E83" s="118">
        <v>1</v>
      </c>
      <c r="F83" s="118">
        <v>0</v>
      </c>
      <c r="G83" s="118">
        <v>0</v>
      </c>
      <c r="H83" s="118">
        <v>0</v>
      </c>
      <c r="I83" s="124">
        <f t="shared" si="1"/>
        <v>3</v>
      </c>
      <c r="J83" s="124" t="str">
        <f t="shared" si="2"/>
        <v>OK</v>
      </c>
      <c r="K83" s="114"/>
    </row>
    <row r="84" spans="1:11" x14ac:dyDescent="0.2">
      <c r="A84" s="148">
        <v>4</v>
      </c>
      <c r="B84" s="118">
        <v>1</v>
      </c>
      <c r="C84" s="118">
        <v>1</v>
      </c>
      <c r="D84" s="118">
        <v>1</v>
      </c>
      <c r="E84" s="118">
        <v>1</v>
      </c>
      <c r="F84" s="118">
        <v>0</v>
      </c>
      <c r="G84" s="118">
        <v>0</v>
      </c>
      <c r="H84" s="118">
        <v>0</v>
      </c>
      <c r="I84" s="124">
        <f t="shared" si="1"/>
        <v>4</v>
      </c>
      <c r="J84" s="124" t="str">
        <f t="shared" si="2"/>
        <v>OK</v>
      </c>
      <c r="K84" s="114"/>
    </row>
    <row r="85" spans="1:11" x14ac:dyDescent="0.2">
      <c r="A85" s="148">
        <v>5</v>
      </c>
      <c r="B85" s="118">
        <v>1</v>
      </c>
      <c r="C85" s="118">
        <v>1</v>
      </c>
      <c r="D85" s="118">
        <v>1</v>
      </c>
      <c r="E85" s="118">
        <v>2</v>
      </c>
      <c r="F85" s="118">
        <v>0</v>
      </c>
      <c r="G85" s="118">
        <v>0</v>
      </c>
      <c r="H85" s="118">
        <v>0</v>
      </c>
      <c r="I85" s="124">
        <f t="shared" si="1"/>
        <v>5</v>
      </c>
      <c r="J85" s="124" t="str">
        <f t="shared" si="2"/>
        <v>OK</v>
      </c>
      <c r="K85" s="114"/>
    </row>
    <row r="86" spans="1:11" x14ac:dyDescent="0.2">
      <c r="A86" s="148">
        <v>6</v>
      </c>
      <c r="B86" s="118">
        <v>2</v>
      </c>
      <c r="C86" s="118">
        <v>1</v>
      </c>
      <c r="D86" s="118">
        <v>1</v>
      </c>
      <c r="E86" s="118">
        <v>2</v>
      </c>
      <c r="F86" s="118">
        <v>0</v>
      </c>
      <c r="G86" s="118">
        <v>0</v>
      </c>
      <c r="H86" s="118">
        <v>0</v>
      </c>
      <c r="I86" s="124">
        <f t="shared" si="1"/>
        <v>6</v>
      </c>
      <c r="J86" s="124" t="str">
        <f t="shared" si="2"/>
        <v>OK</v>
      </c>
      <c r="K86" s="114"/>
    </row>
    <row r="87" spans="1:11" x14ac:dyDescent="0.2">
      <c r="A87" s="148">
        <v>7</v>
      </c>
      <c r="B87" s="118">
        <v>2</v>
      </c>
      <c r="C87" s="118">
        <v>1</v>
      </c>
      <c r="D87" s="118">
        <v>1</v>
      </c>
      <c r="E87" s="118">
        <v>3</v>
      </c>
      <c r="F87" s="118">
        <v>0</v>
      </c>
      <c r="G87" s="118">
        <v>0</v>
      </c>
      <c r="H87" s="118">
        <v>0</v>
      </c>
      <c r="I87" s="124">
        <f t="shared" si="1"/>
        <v>7</v>
      </c>
      <c r="J87" s="124" t="str">
        <f t="shared" si="2"/>
        <v>OK</v>
      </c>
      <c r="K87" s="114"/>
    </row>
    <row r="88" spans="1:11" x14ac:dyDescent="0.2">
      <c r="A88" s="114"/>
      <c r="B88" s="114"/>
      <c r="C88" s="114"/>
      <c r="D88" s="114"/>
      <c r="E88" s="114"/>
      <c r="F88" s="114"/>
      <c r="G88" s="114"/>
      <c r="H88" s="114"/>
    </row>
    <row r="89" spans="1:11" x14ac:dyDescent="0.2">
      <c r="A89" s="140" t="s">
        <v>137</v>
      </c>
      <c r="B89" s="114"/>
      <c r="C89" s="114"/>
      <c r="D89" s="114"/>
      <c r="E89" s="114"/>
      <c r="F89" s="114"/>
      <c r="G89" s="114"/>
      <c r="H89" s="114"/>
    </row>
    <row r="90" spans="1:11" x14ac:dyDescent="0.2">
      <c r="A90" s="114"/>
      <c r="B90" s="114"/>
      <c r="C90" s="114"/>
      <c r="D90" s="114"/>
      <c r="E90" s="114"/>
      <c r="F90" s="114"/>
      <c r="G90" s="114"/>
      <c r="H90" s="114"/>
    </row>
    <row r="91" spans="1:11" x14ac:dyDescent="0.2">
      <c r="A91" s="114"/>
      <c r="B91" s="114"/>
      <c r="C91" s="114"/>
      <c r="D91" s="114"/>
      <c r="E91" s="114"/>
      <c r="F91" s="114"/>
      <c r="G91" s="114"/>
      <c r="H91" s="114"/>
    </row>
    <row r="92" spans="1:11" x14ac:dyDescent="0.2">
      <c r="A92" s="114"/>
      <c r="B92" s="114"/>
      <c r="C92" s="114"/>
      <c r="D92" s="114"/>
      <c r="E92" s="114"/>
      <c r="F92" s="114"/>
      <c r="G92" s="114"/>
      <c r="H92" s="114"/>
    </row>
    <row r="93" spans="1:11" x14ac:dyDescent="0.2">
      <c r="A93" s="114"/>
      <c r="B93" s="114"/>
      <c r="C93" s="114"/>
      <c r="D93" s="114"/>
      <c r="E93" s="114"/>
      <c r="F93" s="114"/>
      <c r="G93" s="114"/>
      <c r="H93" s="114"/>
    </row>
    <row r="94" spans="1:11" x14ac:dyDescent="0.2">
      <c r="A94" s="114"/>
      <c r="B94" s="114"/>
      <c r="C94" s="114"/>
      <c r="D94" s="114"/>
      <c r="E94" s="114"/>
      <c r="F94" s="114"/>
      <c r="G94" s="114"/>
      <c r="H94" s="114"/>
    </row>
    <row r="95" spans="1:11" x14ac:dyDescent="0.2">
      <c r="A95" s="114"/>
      <c r="B95" s="114"/>
      <c r="C95" s="114"/>
      <c r="D95" s="114"/>
      <c r="E95" s="114"/>
      <c r="F95" s="114"/>
      <c r="G95" s="114"/>
      <c r="H95" s="114"/>
    </row>
    <row r="96" spans="1:11" x14ac:dyDescent="0.2">
      <c r="A96" s="114"/>
      <c r="B96" s="114"/>
      <c r="C96" s="114"/>
      <c r="D96" s="114"/>
      <c r="E96" s="114"/>
      <c r="F96" s="114"/>
      <c r="G96" s="114"/>
      <c r="H96" s="114"/>
    </row>
    <row r="97" spans="1:8" x14ac:dyDescent="0.2">
      <c r="A97" s="114"/>
      <c r="B97" s="114"/>
      <c r="C97" s="114"/>
      <c r="D97" s="114"/>
      <c r="E97" s="114"/>
      <c r="F97" s="114"/>
      <c r="G97" s="114"/>
      <c r="H97" s="114"/>
    </row>
    <row r="98" spans="1:8" x14ac:dyDescent="0.2">
      <c r="A98" s="114"/>
      <c r="B98" s="114"/>
      <c r="C98" s="114"/>
      <c r="D98" s="114"/>
      <c r="E98" s="114"/>
      <c r="F98" s="114"/>
      <c r="G98" s="114"/>
      <c r="H98" s="114"/>
    </row>
    <row r="99" spans="1:8" x14ac:dyDescent="0.2">
      <c r="A99" s="114"/>
      <c r="B99" s="114"/>
      <c r="C99" s="114"/>
      <c r="D99" s="114"/>
      <c r="E99" s="114"/>
      <c r="F99" s="114"/>
      <c r="G99" s="114"/>
      <c r="H99" s="114"/>
    </row>
    <row r="100" spans="1:8" x14ac:dyDescent="0.2">
      <c r="A100" s="114"/>
      <c r="B100" s="114"/>
      <c r="C100" s="114"/>
      <c r="D100" s="114"/>
      <c r="E100" s="114"/>
      <c r="F100" s="114"/>
      <c r="G100" s="114"/>
      <c r="H100" s="114"/>
    </row>
    <row r="101" spans="1:8" x14ac:dyDescent="0.2">
      <c r="A101" s="114"/>
      <c r="B101" s="114"/>
      <c r="C101" s="114"/>
      <c r="D101" s="114"/>
      <c r="E101" s="114"/>
      <c r="F101" s="114"/>
      <c r="G101" s="114"/>
      <c r="H101" s="114"/>
    </row>
  </sheetData>
  <mergeCells count="1">
    <mergeCell ref="B10:D10"/>
  </mergeCells>
  <dataValidations count="4">
    <dataValidation type="list" operator="equal" allowBlank="1" showInputMessage="1" showErrorMessage="1" sqref="B9" xr:uid="{B345BFCF-6264-234E-AB62-60B88717E0EC}">
      <formula1>"1,2,3"</formula1>
    </dataValidation>
    <dataValidation type="whole" allowBlank="1" showInputMessage="1" showErrorMessage="1" sqref="B7:D7" xr:uid="{204ABA0F-26C0-1A42-9000-181E53645122}">
      <formula1>0</formula1>
      <formula2>20</formula2>
    </dataValidation>
    <dataValidation type="list" operator="equal" allowBlank="1" showInputMessage="1" showErrorMessage="1" sqref="B10" xr:uid="{3AC25D77-2CA3-6C4A-922E-E4643B720CBF}">
      <formula1>"Proporcional: al que más le falte,Al centro con más lectivas,Al centro con menos lectivas,Al centro de adscripción"</formula1>
    </dataValidation>
    <dataValidation type="whole" allowBlank="1" showInputMessage="1" showErrorMessage="1" sqref="B8:D8" xr:uid="{B2F65CC9-5EB2-6248-B098-3834D2F3E9E9}">
      <formula1>0</formula1>
      <formula2>2</formula2>
    </dataValidation>
  </dataValidations>
  <pageMargins left="0.7" right="0.7" top="0.75" bottom="0.75" header="0.3" footer="0.3"/>
  <pageSetup paperSize="9" orientation="portrait" horizontalDpi="0" verticalDpi="0"/>
  <headerFooter>
    <oddFooter>&amp;CReparto de horas docentes · &amp;A · &amp;P / 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32F22-DBCA-1F48-A80F-6985A090BD45}">
  <dimension ref="A1:E91"/>
  <sheetViews>
    <sheetView workbookViewId="0"/>
  </sheetViews>
  <sheetFormatPr baseColWidth="10" defaultRowHeight="15" x14ac:dyDescent="0.2"/>
  <cols>
    <col min="1" max="1" width="50.83203125" customWidth="1"/>
    <col min="2" max="5" width="16.83203125" customWidth="1"/>
  </cols>
  <sheetData>
    <row r="1" spans="1:5" ht="20" x14ac:dyDescent="0.25">
      <c r="A1" s="158" t="s">
        <v>138</v>
      </c>
    </row>
    <row r="2" spans="1:5" ht="48" customHeight="1" x14ac:dyDescent="0.2">
      <c r="A2" s="198" t="s">
        <v>139</v>
      </c>
      <c r="B2" s="199"/>
      <c r="C2" s="199"/>
      <c r="D2" s="199"/>
      <c r="E2" s="199"/>
    </row>
    <row r="4" spans="1:5" x14ac:dyDescent="0.2">
      <c r="A4" s="159" t="s">
        <v>140</v>
      </c>
      <c r="B4" s="160"/>
      <c r="C4" s="160"/>
      <c r="D4" s="160"/>
      <c r="E4" s="160"/>
    </row>
    <row r="5" spans="1:5" x14ac:dyDescent="0.2">
      <c r="A5" t="s">
        <v>141</v>
      </c>
      <c r="B5" s="180"/>
    </row>
    <row r="6" spans="1:5" x14ac:dyDescent="0.2">
      <c r="A6" t="s">
        <v>142</v>
      </c>
      <c r="B6" s="180">
        <v>1</v>
      </c>
    </row>
    <row r="7" spans="1:5" x14ac:dyDescent="0.2">
      <c r="A7" t="s">
        <v>143</v>
      </c>
      <c r="B7" s="181"/>
    </row>
    <row r="8" spans="1:5" x14ac:dyDescent="0.2">
      <c r="A8" t="s">
        <v>144</v>
      </c>
      <c r="B8" s="180"/>
    </row>
    <row r="9" spans="1:5" ht="45" customHeight="1" x14ac:dyDescent="0.2">
      <c r="A9" t="s">
        <v>145</v>
      </c>
      <c r="B9" s="200"/>
      <c r="C9" s="200"/>
      <c r="D9" s="200"/>
      <c r="E9" s="200"/>
    </row>
    <row r="11" spans="1:5" x14ac:dyDescent="0.2">
      <c r="A11" s="159" t="s">
        <v>146</v>
      </c>
      <c r="B11" s="160"/>
      <c r="C11" s="160"/>
      <c r="D11" s="160"/>
      <c r="E11" s="160"/>
    </row>
    <row r="12" spans="1:5" x14ac:dyDescent="0.2">
      <c r="A12" s="157" t="s">
        <v>86</v>
      </c>
      <c r="B12" s="165" t="s">
        <v>74</v>
      </c>
      <c r="C12" s="165" t="s">
        <v>75</v>
      </c>
      <c r="D12" s="165" t="s">
        <v>76</v>
      </c>
      <c r="E12" s="165" t="s">
        <v>147</v>
      </c>
    </row>
    <row r="13" spans="1:5" x14ac:dyDescent="0.2">
      <c r="A13" s="157" t="s">
        <v>148</v>
      </c>
      <c r="B13" s="165" t="str">
        <f>IF(N(Itinerancia!B7)&gt;0,Itinerancia!B6,"")</f>
        <v>Centro 1</v>
      </c>
      <c r="C13" s="165" t="str">
        <f>IF(N(Itinerancia!C7)&gt;0,Itinerancia!C6,"")</f>
        <v>Centro 2</v>
      </c>
      <c r="D13" s="165" t="str">
        <f>IF(N(Itinerancia!D7)&gt;0,Itinerancia!D6,"")</f>
        <v/>
      </c>
      <c r="E13" s="165"/>
    </row>
    <row r="14" spans="1:5" x14ac:dyDescent="0.2">
      <c r="A14" t="s">
        <v>200</v>
      </c>
      <c r="B14" s="166">
        <f>IF(B$13="","",Itinerancia!B7+N(Itinerancia!B8))</f>
        <v>14</v>
      </c>
      <c r="C14" s="166">
        <f>IF(C$13="","",Itinerancia!C7+N(Itinerancia!C8))</f>
        <v>4</v>
      </c>
      <c r="D14" s="166" t="str">
        <f>IF(D$13="","",Itinerancia!D7+N(Itinerancia!D8))</f>
        <v/>
      </c>
      <c r="E14" s="167">
        <f>Itinerancia!B13+SUM(Itinerancia!B8:D8)</f>
        <v>18</v>
      </c>
    </row>
    <row r="15" spans="1:5" x14ac:dyDescent="0.2">
      <c r="A15" t="s">
        <v>149</v>
      </c>
      <c r="B15" s="166" t="str">
        <f>IF(B$13="","",IF(Itinerancia!$B$9=1,"Sí","No"))</f>
        <v>Sí</v>
      </c>
      <c r="C15" s="166" t="str">
        <f>IF(C$13="","",IF(Itinerancia!$B$9=2,"Sí","No"))</f>
        <v>No</v>
      </c>
      <c r="D15" s="166" t="str">
        <f>IF(D$13="","",IF(Itinerancia!$B$9=3,"Sí","No"))</f>
        <v/>
      </c>
      <c r="E15" s="166"/>
    </row>
    <row r="16" spans="1:5" x14ac:dyDescent="0.2">
      <c r="A16" t="s">
        <v>150</v>
      </c>
      <c r="B16" s="164" t="str">
        <f>Itinerancia!B10</f>
        <v>Proporcional: al que más le falte</v>
      </c>
      <c r="C16" s="166"/>
      <c r="D16" s="166"/>
      <c r="E16" s="166"/>
    </row>
    <row r="17" spans="1:5" x14ac:dyDescent="0.2">
      <c r="A17" t="s">
        <v>213</v>
      </c>
      <c r="B17" s="166">
        <f>IF(B$13="","",N(Itinerancia!B8))</f>
        <v>0</v>
      </c>
      <c r="C17" s="166">
        <f>IF(C$13="","",N(Itinerancia!C8))</f>
        <v>0</v>
      </c>
      <c r="D17" s="166" t="str">
        <f>IF(D$13="","",N(Itinerancia!D8))</f>
        <v/>
      </c>
      <c r="E17" s="166">
        <f>SUM(Itinerancia!B8:D8)</f>
        <v>0</v>
      </c>
    </row>
    <row r="18" spans="1:5" x14ac:dyDescent="0.2">
      <c r="A18" s="159" t="s">
        <v>151</v>
      </c>
      <c r="B18" s="168"/>
      <c r="C18" s="168"/>
      <c r="D18" s="168"/>
      <c r="E18" s="168"/>
    </row>
    <row r="19" spans="1:5" x14ac:dyDescent="0.2">
      <c r="A19" s="157" t="s">
        <v>86</v>
      </c>
      <c r="B19" s="165" t="str">
        <f>B$13</f>
        <v>Centro 1</v>
      </c>
      <c r="C19" s="165" t="str">
        <f>C$13</f>
        <v>Centro 2</v>
      </c>
      <c r="D19" s="165" t="str">
        <f>D$13</f>
        <v/>
      </c>
      <c r="E19" s="165" t="s">
        <v>147</v>
      </c>
    </row>
    <row r="20" spans="1:5" x14ac:dyDescent="0.2">
      <c r="A20" s="157" t="s">
        <v>152</v>
      </c>
      <c r="B20" s="169">
        <f>IF(B$13="","",Itinerancia!B25*24)</f>
        <v>5</v>
      </c>
      <c r="C20" s="169">
        <f>IF(C$13="","",Itinerancia!C25*24)</f>
        <v>2</v>
      </c>
      <c r="D20" s="169" t="str">
        <f>IF(D$13="","",Itinerancia!D25*24)</f>
        <v/>
      </c>
      <c r="E20" s="169">
        <f t="shared" ref="E20:E29" si="0">SUM(B20:D20)</f>
        <v>7</v>
      </c>
    </row>
    <row r="21" spans="1:5" x14ac:dyDescent="0.2">
      <c r="A21" t="s">
        <v>88</v>
      </c>
      <c r="B21" s="167">
        <f>IF(B$13="","",Itinerancia!B26*24)</f>
        <v>1</v>
      </c>
      <c r="C21" s="167">
        <f>IF(C$13="","",Itinerancia!C26*24)</f>
        <v>0</v>
      </c>
      <c r="D21" s="167" t="str">
        <f>IF(D$13="","",Itinerancia!D26*24)</f>
        <v/>
      </c>
      <c r="E21" s="167">
        <f t="shared" si="0"/>
        <v>1</v>
      </c>
    </row>
    <row r="22" spans="1:5" x14ac:dyDescent="0.2">
      <c r="A22" t="s">
        <v>119</v>
      </c>
      <c r="B22" s="167">
        <f>IF(B$13="","",Itinerancia!B27*24)</f>
        <v>1</v>
      </c>
      <c r="C22" s="167">
        <f>IF(C$13="","",Itinerancia!C27*24)</f>
        <v>1</v>
      </c>
      <c r="D22" s="167" t="str">
        <f>IF(D$13="","",Itinerancia!D27*24)</f>
        <v/>
      </c>
      <c r="E22" s="167">
        <f t="shared" si="0"/>
        <v>2</v>
      </c>
    </row>
    <row r="23" spans="1:5" x14ac:dyDescent="0.2">
      <c r="A23" t="s">
        <v>153</v>
      </c>
      <c r="B23" s="167">
        <f>IF(B$13="","",Itinerancia!B28*24)</f>
        <v>1</v>
      </c>
      <c r="C23" s="167">
        <f>IF(C$13="","",Itinerancia!C28*24)</f>
        <v>1</v>
      </c>
      <c r="D23" s="167" t="str">
        <f>IF(D$13="","",Itinerancia!D28*24)</f>
        <v/>
      </c>
      <c r="E23" s="167">
        <f t="shared" si="0"/>
        <v>2</v>
      </c>
    </row>
    <row r="24" spans="1:5" x14ac:dyDescent="0.2">
      <c r="A24" t="s">
        <v>90</v>
      </c>
      <c r="B24" s="167">
        <f>IF(B$13="","",Itinerancia!B29*24)</f>
        <v>2</v>
      </c>
      <c r="C24" s="167">
        <f>IF(C$13="","",Itinerancia!C29*24)</f>
        <v>0</v>
      </c>
      <c r="D24" s="167" t="str">
        <f>IF(D$13="","",Itinerancia!D29*24)</f>
        <v/>
      </c>
      <c r="E24" s="167">
        <f t="shared" si="0"/>
        <v>2</v>
      </c>
    </row>
    <row r="25" spans="1:5" x14ac:dyDescent="0.2">
      <c r="A25" t="str">
        <f>"      · "&amp;Itinerancia!$F$79</f>
        <v xml:space="preserve">      · Otra 1</v>
      </c>
      <c r="B25" s="167">
        <f>IF(B$13="","",Itinerancia!B30*24)</f>
        <v>0</v>
      </c>
      <c r="C25" s="167">
        <f>IF(C$13="","",Itinerancia!C30*24)</f>
        <v>0</v>
      </c>
      <c r="D25" s="167" t="str">
        <f>IF(D$13="","",Itinerancia!D30*24)</f>
        <v/>
      </c>
      <c r="E25" s="167">
        <f t="shared" si="0"/>
        <v>0</v>
      </c>
    </row>
    <row r="26" spans="1:5" x14ac:dyDescent="0.2">
      <c r="A26" t="str">
        <f>"      · "&amp;Itinerancia!$G$79</f>
        <v xml:space="preserve">      · Otra 2</v>
      </c>
      <c r="B26" s="167">
        <f>IF(B$13="","",Itinerancia!B31*24)</f>
        <v>0</v>
      </c>
      <c r="C26" s="167">
        <f>IF(C$13="","",Itinerancia!C31*24)</f>
        <v>0</v>
      </c>
      <c r="D26" s="167" t="str">
        <f>IF(D$13="","",Itinerancia!D31*24)</f>
        <v/>
      </c>
      <c r="E26" s="167">
        <f t="shared" si="0"/>
        <v>0</v>
      </c>
    </row>
    <row r="27" spans="1:5" x14ac:dyDescent="0.2">
      <c r="A27" t="str">
        <f>"      · "&amp;Itinerancia!$H$79</f>
        <v xml:space="preserve">      · Otra 3</v>
      </c>
      <c r="B27" s="167">
        <f>IF(B$13="","",Itinerancia!B32*24)</f>
        <v>0</v>
      </c>
      <c r="C27" s="167">
        <f>IF(C$13="","",Itinerancia!C32*24)</f>
        <v>0</v>
      </c>
      <c r="D27" s="167" t="str">
        <f>IF(D$13="","",Itinerancia!D32*24)</f>
        <v/>
      </c>
      <c r="E27" s="167">
        <f t="shared" si="0"/>
        <v>0</v>
      </c>
    </row>
    <row r="28" spans="1:5" x14ac:dyDescent="0.2">
      <c r="A28" s="157" t="s">
        <v>91</v>
      </c>
      <c r="B28" s="170">
        <f>IF(B$13="","",Itinerancia!B33)</f>
        <v>0.16180555555555556</v>
      </c>
      <c r="C28" s="170">
        <f>IF(C$13="","",Itinerancia!C33)</f>
        <v>4.6527777777777779E-2</v>
      </c>
      <c r="D28" s="170" t="str">
        <f>IF(D$13="","",Itinerancia!D33)</f>
        <v/>
      </c>
      <c r="E28" s="170">
        <f t="shared" si="0"/>
        <v>0.20833333333333334</v>
      </c>
    </row>
    <row r="29" spans="1:5" x14ac:dyDescent="0.2">
      <c r="A29" s="157" t="s">
        <v>83</v>
      </c>
      <c r="B29" s="170">
        <f>IF(B$13="","",Itinerancia!B34)</f>
        <v>0.24305555555555555</v>
      </c>
      <c r="C29" s="170">
        <f>IF(C$13="","",Itinerancia!C34)</f>
        <v>6.9444444444444448E-2</v>
      </c>
      <c r="D29" s="170" t="str">
        <f>IF(D$13="","",Itinerancia!D34)</f>
        <v/>
      </c>
      <c r="E29" s="170">
        <f t="shared" si="0"/>
        <v>0.3125</v>
      </c>
    </row>
    <row r="30" spans="1:5" x14ac:dyDescent="0.2">
      <c r="B30" s="166"/>
      <c r="C30" s="166"/>
      <c r="D30" s="166"/>
      <c r="E30" s="166"/>
    </row>
    <row r="31" spans="1:5" x14ac:dyDescent="0.2">
      <c r="A31" s="159" t="s">
        <v>154</v>
      </c>
      <c r="B31" s="168"/>
      <c r="C31" s="168"/>
      <c r="D31" s="168"/>
      <c r="E31" s="168"/>
    </row>
    <row r="32" spans="1:5" x14ac:dyDescent="0.2">
      <c r="A32" s="157" t="s">
        <v>86</v>
      </c>
      <c r="B32" s="165" t="str">
        <f>B$13</f>
        <v>Centro 1</v>
      </c>
      <c r="C32" s="165" t="str">
        <f>C$13</f>
        <v>Centro 2</v>
      </c>
      <c r="D32" s="165" t="str">
        <f>D$13</f>
        <v/>
      </c>
      <c r="E32" s="165" t="s">
        <v>147</v>
      </c>
    </row>
    <row r="33" spans="1:5" x14ac:dyDescent="0.2">
      <c r="A33" s="157" t="s">
        <v>152</v>
      </c>
      <c r="B33" s="171"/>
      <c r="C33" s="171"/>
      <c r="D33" s="171"/>
      <c r="E33" s="169"/>
    </row>
    <row r="34" spans="1:5" x14ac:dyDescent="0.2">
      <c r="A34" t="s">
        <v>88</v>
      </c>
      <c r="B34" s="172"/>
      <c r="C34" s="172"/>
      <c r="D34" s="172"/>
      <c r="E34" s="167"/>
    </row>
    <row r="35" spans="1:5" x14ac:dyDescent="0.2">
      <c r="A35" t="s">
        <v>119</v>
      </c>
      <c r="B35" s="172"/>
      <c r="C35" s="172"/>
      <c r="D35" s="172"/>
      <c r="E35" s="167"/>
    </row>
    <row r="36" spans="1:5" x14ac:dyDescent="0.2">
      <c r="A36" t="s">
        <v>153</v>
      </c>
      <c r="B36" s="172"/>
      <c r="C36" s="172"/>
      <c r="D36" s="172"/>
      <c r="E36" s="167"/>
    </row>
    <row r="37" spans="1:5" x14ac:dyDescent="0.2">
      <c r="A37" t="s">
        <v>90</v>
      </c>
      <c r="B37" s="172"/>
      <c r="C37" s="172"/>
      <c r="D37" s="172"/>
      <c r="E37" s="167"/>
    </row>
    <row r="38" spans="1:5" x14ac:dyDescent="0.2">
      <c r="A38" t="str">
        <f>"      · "&amp;Itinerancia!$F$79</f>
        <v xml:space="preserve">      · Otra 1</v>
      </c>
      <c r="B38" s="172"/>
      <c r="C38" s="172"/>
      <c r="D38" s="172"/>
      <c r="E38" s="167"/>
    </row>
    <row r="39" spans="1:5" x14ac:dyDescent="0.2">
      <c r="A39" t="str">
        <f>"      · "&amp;Itinerancia!$G$79</f>
        <v xml:space="preserve">      · Otra 2</v>
      </c>
      <c r="B39" s="172"/>
      <c r="C39" s="172"/>
      <c r="D39" s="172"/>
      <c r="E39" s="167"/>
    </row>
    <row r="40" spans="1:5" x14ac:dyDescent="0.2">
      <c r="A40" t="str">
        <f>"      · "&amp;Itinerancia!$H$79</f>
        <v xml:space="preserve">      · Otra 3</v>
      </c>
      <c r="B40" s="172"/>
      <c r="C40" s="172"/>
      <c r="D40" s="172"/>
      <c r="E40" s="167"/>
    </row>
    <row r="41" spans="1:5" x14ac:dyDescent="0.2">
      <c r="A41" s="157" t="s">
        <v>91</v>
      </c>
      <c r="B41" s="173"/>
      <c r="C41" s="173"/>
      <c r="D41" s="173"/>
      <c r="E41" s="170"/>
    </row>
    <row r="42" spans="1:5" x14ac:dyDescent="0.2">
      <c r="A42" s="157" t="s">
        <v>83</v>
      </c>
      <c r="B42" s="173"/>
      <c r="C42" s="173"/>
      <c r="D42" s="173"/>
      <c r="E42" s="170"/>
    </row>
    <row r="43" spans="1:5" x14ac:dyDescent="0.2">
      <c r="B43" s="166"/>
      <c r="C43" s="166"/>
      <c r="D43" s="166"/>
      <c r="E43" s="166"/>
    </row>
    <row r="44" spans="1:5" x14ac:dyDescent="0.2">
      <c r="A44" s="159" t="s">
        <v>155</v>
      </c>
      <c r="B44" s="168"/>
      <c r="C44" s="168"/>
      <c r="D44" s="168"/>
      <c r="E44" s="168"/>
    </row>
    <row r="45" spans="1:5" x14ac:dyDescent="0.2">
      <c r="A45" s="157" t="s">
        <v>86</v>
      </c>
      <c r="B45" s="165" t="str">
        <f>B$13</f>
        <v>Centro 1</v>
      </c>
      <c r="C45" s="165" t="str">
        <f>C$13</f>
        <v>Centro 2</v>
      </c>
      <c r="D45" s="165" t="str">
        <f>D$13</f>
        <v/>
      </c>
      <c r="E45" s="165" t="s">
        <v>147</v>
      </c>
    </row>
    <row r="46" spans="1:5" x14ac:dyDescent="0.2">
      <c r="A46" s="157" t="s">
        <v>152</v>
      </c>
      <c r="B46" s="169">
        <f t="shared" ref="B46:D55" si="1">IF(B$13="","",IF(B33="",B20,B33))</f>
        <v>5</v>
      </c>
      <c r="C46" s="169">
        <f t="shared" si="1"/>
        <v>2</v>
      </c>
      <c r="D46" s="169" t="str">
        <f t="shared" si="1"/>
        <v/>
      </c>
      <c r="E46" s="169">
        <f t="shared" ref="E46:E57" si="2">SUM(B46:D46)</f>
        <v>7</v>
      </c>
    </row>
    <row r="47" spans="1:5" x14ac:dyDescent="0.2">
      <c r="A47" t="s">
        <v>88</v>
      </c>
      <c r="B47" s="167">
        <f t="shared" si="1"/>
        <v>1</v>
      </c>
      <c r="C47" s="167">
        <f t="shared" si="1"/>
        <v>0</v>
      </c>
      <c r="D47" s="167" t="str">
        <f t="shared" si="1"/>
        <v/>
      </c>
      <c r="E47" s="167">
        <f t="shared" si="2"/>
        <v>1</v>
      </c>
    </row>
    <row r="48" spans="1:5" x14ac:dyDescent="0.2">
      <c r="A48" t="s">
        <v>119</v>
      </c>
      <c r="B48" s="167">
        <f t="shared" si="1"/>
        <v>1</v>
      </c>
      <c r="C48" s="167">
        <f t="shared" si="1"/>
        <v>1</v>
      </c>
      <c r="D48" s="167" t="str">
        <f t="shared" si="1"/>
        <v/>
      </c>
      <c r="E48" s="167">
        <f t="shared" si="2"/>
        <v>2</v>
      </c>
    </row>
    <row r="49" spans="1:5" x14ac:dyDescent="0.2">
      <c r="A49" t="s">
        <v>153</v>
      </c>
      <c r="B49" s="167">
        <f t="shared" si="1"/>
        <v>1</v>
      </c>
      <c r="C49" s="167">
        <f t="shared" si="1"/>
        <v>1</v>
      </c>
      <c r="D49" s="167" t="str">
        <f t="shared" si="1"/>
        <v/>
      </c>
      <c r="E49" s="167">
        <f t="shared" si="2"/>
        <v>2</v>
      </c>
    </row>
    <row r="50" spans="1:5" x14ac:dyDescent="0.2">
      <c r="A50" t="s">
        <v>90</v>
      </c>
      <c r="B50" s="167">
        <f t="shared" si="1"/>
        <v>2</v>
      </c>
      <c r="C50" s="167">
        <f t="shared" si="1"/>
        <v>0</v>
      </c>
      <c r="D50" s="167" t="str">
        <f t="shared" si="1"/>
        <v/>
      </c>
      <c r="E50" s="167">
        <f t="shared" si="2"/>
        <v>2</v>
      </c>
    </row>
    <row r="51" spans="1:5" x14ac:dyDescent="0.2">
      <c r="A51" t="str">
        <f>"      · "&amp;Itinerancia!$F$79</f>
        <v xml:space="preserve">      · Otra 1</v>
      </c>
      <c r="B51" s="167">
        <f t="shared" si="1"/>
        <v>0</v>
      </c>
      <c r="C51" s="167">
        <f t="shared" si="1"/>
        <v>0</v>
      </c>
      <c r="D51" s="167" t="str">
        <f t="shared" si="1"/>
        <v/>
      </c>
      <c r="E51" s="167">
        <f t="shared" si="2"/>
        <v>0</v>
      </c>
    </row>
    <row r="52" spans="1:5" x14ac:dyDescent="0.2">
      <c r="A52" t="str">
        <f>"      · "&amp;Itinerancia!$G$79</f>
        <v xml:space="preserve">      · Otra 2</v>
      </c>
      <c r="B52" s="167">
        <f t="shared" si="1"/>
        <v>0</v>
      </c>
      <c r="C52" s="167">
        <f t="shared" si="1"/>
        <v>0</v>
      </c>
      <c r="D52" s="167" t="str">
        <f t="shared" si="1"/>
        <v/>
      </c>
      <c r="E52" s="167">
        <f t="shared" si="2"/>
        <v>0</v>
      </c>
    </row>
    <row r="53" spans="1:5" x14ac:dyDescent="0.2">
      <c r="A53" t="str">
        <f>"      · "&amp;Itinerancia!$H$79</f>
        <v xml:space="preserve">      · Otra 3</v>
      </c>
      <c r="B53" s="167">
        <f t="shared" si="1"/>
        <v>0</v>
      </c>
      <c r="C53" s="167">
        <f t="shared" si="1"/>
        <v>0</v>
      </c>
      <c r="D53" s="167" t="str">
        <f t="shared" si="1"/>
        <v/>
      </c>
      <c r="E53" s="167">
        <f t="shared" si="2"/>
        <v>0</v>
      </c>
    </row>
    <row r="54" spans="1:5" x14ac:dyDescent="0.2">
      <c r="A54" s="157" t="s">
        <v>91</v>
      </c>
      <c r="B54" s="170">
        <f t="shared" si="1"/>
        <v>0.16180555555555556</v>
      </c>
      <c r="C54" s="170">
        <f t="shared" si="1"/>
        <v>4.6527777777777779E-2</v>
      </c>
      <c r="D54" s="170" t="str">
        <f t="shared" si="1"/>
        <v/>
      </c>
      <c r="E54" s="170">
        <f t="shared" si="2"/>
        <v>0.20833333333333334</v>
      </c>
    </row>
    <row r="55" spans="1:5" x14ac:dyDescent="0.2">
      <c r="A55" s="157" t="s">
        <v>83</v>
      </c>
      <c r="B55" s="170">
        <f t="shared" si="1"/>
        <v>0.24305555555555555</v>
      </c>
      <c r="C55" s="170">
        <f t="shared" si="1"/>
        <v>6.9444444444444448E-2</v>
      </c>
      <c r="D55" s="170" t="str">
        <f t="shared" si="1"/>
        <v/>
      </c>
      <c r="E55" s="170">
        <f t="shared" si="2"/>
        <v>0.3125</v>
      </c>
    </row>
    <row r="56" spans="1:5" x14ac:dyDescent="0.2">
      <c r="A56" s="161" t="s">
        <v>9</v>
      </c>
      <c r="B56" s="174">
        <f>IF(B$13="","",(B14+B46)/24+B54+B55)</f>
        <v>1.1965277777777776</v>
      </c>
      <c r="C56" s="174">
        <f>IF(C$13="","",(C14+C46)/24+C54+C55)</f>
        <v>0.36597222222222225</v>
      </c>
      <c r="D56" s="174" t="str">
        <f>IF(D$13="","",(D14+D46)/24+D54+D55)</f>
        <v/>
      </c>
      <c r="E56" s="174">
        <f t="shared" si="2"/>
        <v>1.5625</v>
      </c>
    </row>
    <row r="57" spans="1:5" x14ac:dyDescent="0.2">
      <c r="A57" s="162" t="s">
        <v>156</v>
      </c>
      <c r="B57" s="175">
        <f>IF(B$13="","",Itinerancia!B37)</f>
        <v>1.2152777777777779</v>
      </c>
      <c r="C57" s="175">
        <f>IF(C$13="","",Itinerancia!C37)</f>
        <v>0.34722222222222221</v>
      </c>
      <c r="D57" s="175" t="str">
        <f>IF(D$13="","",Itinerancia!D37)</f>
        <v/>
      </c>
      <c r="E57" s="175">
        <f t="shared" si="2"/>
        <v>1.5625</v>
      </c>
    </row>
    <row r="58" spans="1:5" x14ac:dyDescent="0.2">
      <c r="A58" s="162" t="s">
        <v>157</v>
      </c>
      <c r="B58" s="176">
        <f>IF(B$13="","",ROUND((B56-B57)*1440,0))</f>
        <v>-27</v>
      </c>
      <c r="C58" s="176">
        <f>IF(C$13="","",ROUND((C56-C57)*1440,0))</f>
        <v>27</v>
      </c>
      <c r="D58" s="176" t="str">
        <f>IF(D$13="","",ROUND((D56-D57)*1440,0))</f>
        <v/>
      </c>
      <c r="E58" s="176">
        <f>ROUND((E56-E57)*1440,0)</f>
        <v>0</v>
      </c>
    </row>
    <row r="59" spans="1:5" x14ac:dyDescent="0.2">
      <c r="B59" s="166"/>
      <c r="C59" s="166"/>
      <c r="D59" s="166"/>
      <c r="E59" s="166"/>
    </row>
    <row r="60" spans="1:5" x14ac:dyDescent="0.2">
      <c r="A60" s="159" t="s">
        <v>158</v>
      </c>
      <c r="B60" s="168"/>
      <c r="C60" s="168"/>
      <c r="D60" s="168"/>
      <c r="E60" s="168"/>
    </row>
    <row r="61" spans="1:5" x14ac:dyDescent="0.2">
      <c r="A61" t="s">
        <v>159</v>
      </c>
      <c r="B61" s="180"/>
      <c r="C61" s="166"/>
      <c r="D61" s="166"/>
      <c r="E61" s="166"/>
    </row>
    <row r="62" spans="1:5" x14ac:dyDescent="0.2">
      <c r="A62" t="s">
        <v>160</v>
      </c>
      <c r="B62" s="180"/>
      <c r="C62" s="166"/>
      <c r="D62" s="166"/>
      <c r="E62" s="166"/>
    </row>
    <row r="63" spans="1:5" x14ac:dyDescent="0.2">
      <c r="A63" t="s">
        <v>161</v>
      </c>
      <c r="B63" s="180"/>
      <c r="C63" s="166"/>
      <c r="D63" s="166"/>
      <c r="E63" s="166"/>
    </row>
    <row r="64" spans="1:5" x14ac:dyDescent="0.2">
      <c r="A64" t="s">
        <v>162</v>
      </c>
      <c r="B64" s="180"/>
      <c r="C64" s="166"/>
      <c r="D64" s="166"/>
      <c r="E64" s="166"/>
    </row>
    <row r="65" spans="1:5" x14ac:dyDescent="0.2">
      <c r="A65" t="s">
        <v>163</v>
      </c>
      <c r="B65" s="180"/>
      <c r="C65" s="166"/>
      <c r="D65" s="166"/>
      <c r="E65" s="166"/>
    </row>
    <row r="66" spans="1:5" x14ac:dyDescent="0.2">
      <c r="B66" s="166"/>
      <c r="C66" s="166"/>
      <c r="D66" s="166"/>
      <c r="E66" s="166"/>
    </row>
    <row r="67" spans="1:5" x14ac:dyDescent="0.2">
      <c r="A67" s="157" t="s">
        <v>86</v>
      </c>
      <c r="B67" s="165" t="str">
        <f>B$13</f>
        <v>Centro 1</v>
      </c>
      <c r="C67" s="165" t="str">
        <f>C$13</f>
        <v>Centro 2</v>
      </c>
      <c r="D67" s="165" t="str">
        <f>D$13</f>
        <v/>
      </c>
      <c r="E67" s="165" t="s">
        <v>147</v>
      </c>
    </row>
    <row r="68" spans="1:5" x14ac:dyDescent="0.2">
      <c r="A68" t="s">
        <v>164</v>
      </c>
      <c r="B68" s="166">
        <f>IF(B$13="","",COUNTIF($B$61:$B$65,B$13))</f>
        <v>0</v>
      </c>
      <c r="C68" s="166">
        <f>IF(C$13="","",COUNTIF($B$61:$B$65,C$13))</f>
        <v>0</v>
      </c>
      <c r="D68" s="166" t="str">
        <f>IF(D$13="","",COUNTIF($B$61:$B$65,D$13))</f>
        <v/>
      </c>
      <c r="E68" s="166"/>
    </row>
    <row r="69" spans="1:5" x14ac:dyDescent="0.2">
      <c r="A69" t="s">
        <v>165</v>
      </c>
      <c r="B69" s="178" t="str">
        <f>IF(OR(B$13="",N(B68)=0),"",B14/B68)</f>
        <v/>
      </c>
      <c r="C69" s="178" t="str">
        <f>IF(OR(C$13="",N(C68)=0),"",C14/C68)</f>
        <v/>
      </c>
      <c r="D69" s="178" t="str">
        <f>IF(OR(D$13="",N(D68)=0),"",D14/D68)</f>
        <v/>
      </c>
      <c r="E69" s="166"/>
    </row>
    <row r="71" spans="1:5" x14ac:dyDescent="0.2">
      <c r="A71" s="159" t="s">
        <v>166</v>
      </c>
      <c r="B71" s="160"/>
      <c r="C71" s="160"/>
      <c r="D71" s="160"/>
      <c r="E71" s="160"/>
    </row>
    <row r="72" spans="1:5" x14ac:dyDescent="0.2">
      <c r="A72" t="s">
        <v>167</v>
      </c>
      <c r="B72" s="164" t="str">
        <f>IF(ROUND(E46-Itinerancia!E25*24,0)=0,"OK","No cuadra: deben ser "&amp;ROUND(Itinerancia!E25*24,0)&amp;" h")</f>
        <v>OK</v>
      </c>
    </row>
    <row r="73" spans="1:5" x14ac:dyDescent="0.2">
      <c r="A73" t="s">
        <v>168</v>
      </c>
      <c r="B73" s="164" t="str">
        <f>IF(ROUND((E54-Itinerancia!E33)*1440,0)=0,"OK","No cuadra: debe ser "&amp;TEXT(Itinerancia!E33,"[h]:mm"))</f>
        <v>OK</v>
      </c>
    </row>
    <row r="74" spans="1:5" x14ac:dyDescent="0.2">
      <c r="A74" t="s">
        <v>169</v>
      </c>
      <c r="B74" s="164" t="str">
        <f>IF(ROUND((E55-Itinerancia!E34)*1440,0)=0,"OK","No cuadra: debe ser "&amp;TEXT(Itinerancia!E34,"[h]:mm"))</f>
        <v>OK</v>
      </c>
    </row>
    <row r="75" spans="1:5" x14ac:dyDescent="0.2">
      <c r="A75" s="157" t="s">
        <v>170</v>
      </c>
      <c r="B75" s="157" t="str">
        <f>B$13</f>
        <v>Centro 1</v>
      </c>
      <c r="C75" s="157" t="str">
        <f>C$13</f>
        <v>Centro 2</v>
      </c>
      <c r="D75" s="157" t="str">
        <f>D$13</f>
        <v/>
      </c>
      <c r="E75" s="157" t="s">
        <v>147</v>
      </c>
    </row>
    <row r="76" spans="1:5" x14ac:dyDescent="0.2">
      <c r="A76" t="s">
        <v>171</v>
      </c>
      <c r="B76" s="164" t="str">
        <f>IF(B$13="","",IF(SUM(B47:B53)=B46,"OK","Revisar: suma "&amp;SUM(B47:B53)))</f>
        <v>OK</v>
      </c>
      <c r="C76" s="164" t="str">
        <f>IF(C$13="","",IF(SUM(C47:C53)=C46,"OK","Revisar: suma "&amp;SUM(C47:C53)))</f>
        <v>OK</v>
      </c>
      <c r="D76" s="164" t="str">
        <f>IF(D$13="","",IF(SUM(D47:D53)=D46,"OK","Revisar: suma "&amp;SUM(D47:D53)))</f>
        <v/>
      </c>
    </row>
    <row r="77" spans="1:5" x14ac:dyDescent="0.2">
      <c r="A77" t="s">
        <v>172</v>
      </c>
      <c r="B77" s="164" t="str">
        <f>IF(B$13="","",IF(ABS(B58)&gt;30,"Aviso: "&amp;B58&amp;" min","OK"))</f>
        <v>OK</v>
      </c>
      <c r="C77" s="164" t="str">
        <f>IF(C$13="","",IF(ABS(C58)&gt;30,"Aviso: "&amp;C58&amp;" min","OK"))</f>
        <v>OK</v>
      </c>
      <c r="D77" s="164" t="str">
        <f>IF(D$13="","",IF(ABS(D58)&gt;30,"Aviso: "&amp;D58&amp;" min","OK"))</f>
        <v/>
      </c>
    </row>
    <row r="78" spans="1:5" x14ac:dyDescent="0.2">
      <c r="A78" t="s">
        <v>173</v>
      </c>
      <c r="B78" s="164" t="str">
        <f>IF(B$13="","",IF(COUNTA($B$61:$B$65)=0,"Sin días",IF(B68=0,"Aviso: sin días",IF(OR(B69&lt;2,B69&gt;5),"Aviso: "&amp;TEXT(B69,"0.0")&amp;" por día","OK"))))</f>
        <v>Sin días</v>
      </c>
      <c r="C78" s="164" t="str">
        <f>IF(C$13="","",IF(COUNTA($B$61:$B$65)=0,"Sin días",IF(C68=0,"Aviso: sin días",IF(OR(C69&lt;2,C69&gt;5),"Aviso: "&amp;TEXT(C69,"0.0")&amp;" por día","OK"))))</f>
        <v>Sin días</v>
      </c>
      <c r="D78" s="164" t="str">
        <f>IF(D$13="","",IF(COUNTA($B$61:$B$65)=0,"Sin días",IF(D68=0,"Aviso: sin días",IF(OR(D69&lt;2,D69&gt;5),"Aviso: "&amp;TEXT(D69,"0.0")&amp;" por día","OK"))))</f>
        <v/>
      </c>
    </row>
    <row r="79" spans="1:5" x14ac:dyDescent="0.2">
      <c r="A79" t="s">
        <v>174</v>
      </c>
      <c r="B79" s="164" t="str">
        <f>IF(OR(E14&lt;18,COUNTA(B61:B65)=5),"OK","Aviso: quedan días sin centro")</f>
        <v>Aviso: quedan días sin centro</v>
      </c>
      <c r="C79" s="164"/>
      <c r="D79" s="164"/>
    </row>
    <row r="80" spans="1:5" x14ac:dyDescent="0.2">
      <c r="A80" t="s">
        <v>175</v>
      </c>
      <c r="B80" s="164" t="str">
        <f>IF(COUNTA(B33:D42)=0,"Calculado con el criterio «"&amp;B16&amp;"»","Ajustado a mano: ya no es el del criterio «"&amp;B16&amp;"»")</f>
        <v>Calculado con el criterio «Proporcional: al que más le falte»</v>
      </c>
      <c r="C80" s="164"/>
      <c r="D80" s="164"/>
    </row>
    <row r="81" spans="1:5" x14ac:dyDescent="0.2">
      <c r="A81" t="s">
        <v>214</v>
      </c>
      <c r="B81" s="164" t="str">
        <f>IF(SUM(Itinerancia!B8:D8)=0,"No hay",IF(Itinerancia!B74&gt;0,"Aviso: B no llega; quedan "&amp;Itinerancia!B74&amp;" h sin restar",IF(SUM(Itinerancia!B72:D72)&gt;0,"Restadas en parte en otro centro (no había B suficiente)","OK")))</f>
        <v>No hay</v>
      </c>
    </row>
    <row r="82" spans="1:5" ht="16" x14ac:dyDescent="0.2">
      <c r="A82" s="163" t="s">
        <v>176</v>
      </c>
      <c r="B82" s="163" t="str">
        <f>IF(AND(B72="OK",B73="OK",B74="OK",COUNTIF(B76:D76,"Revisar*")=0),IF(COUNTIF(B77:D78,"Aviso*")+COUNTIF(B78:D78,"Sin*")+(B79&lt;&gt;"OK")+COUNTIF(B81,"Aviso*")=0,"Correcta","Correcta, con avisos"),"Hay que corregir")</f>
        <v>Correcta, con avisos</v>
      </c>
    </row>
    <row r="84" spans="1:5" x14ac:dyDescent="0.2">
      <c r="A84" s="159" t="s">
        <v>177</v>
      </c>
      <c r="B84" s="160"/>
      <c r="C84" s="160"/>
      <c r="D84" s="160"/>
      <c r="E84" s="160"/>
    </row>
    <row r="85" spans="1:5" x14ac:dyDescent="0.2">
      <c r="A85" s="157" t="s">
        <v>86</v>
      </c>
      <c r="B85" s="165" t="str">
        <f>B$13</f>
        <v>Centro 1</v>
      </c>
      <c r="C85" s="165" t="str">
        <f>C$13</f>
        <v>Centro 2</v>
      </c>
      <c r="D85" s="165" t="str">
        <f>D$13</f>
        <v/>
      </c>
      <c r="E85" s="157" t="s">
        <v>147</v>
      </c>
    </row>
    <row r="86" spans="1:5" x14ac:dyDescent="0.2">
      <c r="A86" t="s">
        <v>178</v>
      </c>
      <c r="B86" s="177"/>
      <c r="C86" s="177"/>
      <c r="D86" s="177"/>
    </row>
    <row r="87" spans="1:5" x14ac:dyDescent="0.2">
      <c r="A87" t="s">
        <v>143</v>
      </c>
      <c r="B87" s="179"/>
      <c r="C87" s="179"/>
      <c r="D87" s="179"/>
    </row>
    <row r="88" spans="1:5" x14ac:dyDescent="0.2">
      <c r="A88" t="s">
        <v>179</v>
      </c>
      <c r="B88" s="177"/>
      <c r="C88" s="177"/>
      <c r="D88" s="177"/>
    </row>
    <row r="89" spans="1:5" x14ac:dyDescent="0.2">
      <c r="A89" t="s">
        <v>180</v>
      </c>
      <c r="B89" s="177"/>
      <c r="C89" s="177"/>
      <c r="D89" s="177"/>
    </row>
    <row r="91" spans="1:5" ht="45" customHeight="1" x14ac:dyDescent="0.2">
      <c r="A91" s="198" t="s">
        <v>181</v>
      </c>
      <c r="B91" s="199"/>
      <c r="C91" s="199"/>
      <c r="D91" s="199"/>
      <c r="E91" s="199"/>
    </row>
  </sheetData>
  <mergeCells count="3">
    <mergeCell ref="A2:E2"/>
    <mergeCell ref="B9:E9"/>
    <mergeCell ref="A91:E91"/>
  </mergeCells>
  <dataValidations count="3">
    <dataValidation type="list" operator="equal" allowBlank="1" showInputMessage="1" showErrorMessage="1" sqref="B8 B61:B65" xr:uid="{7E6F96AD-4A1F-344A-8DA2-8AB7B1DDAD1C}">
      <formula1>$B$13:$D$13</formula1>
    </dataValidation>
    <dataValidation type="whole" allowBlank="1" showInputMessage="1" showErrorMessage="1" sqref="B33:D40" xr:uid="{15CE0E36-5B33-CF49-99CD-51EE09AEC323}">
      <formula1>0</formula1>
      <formula2>20</formula2>
    </dataValidation>
    <dataValidation type="list" operator="equal" allowBlank="1" showInputMessage="1" showErrorMessage="1" sqref="B86:D86" xr:uid="{FD883D4D-C673-D544-B792-EBA68B2F29FD}">
      <formula1>"Sí,No"</formula1>
    </dataValidation>
  </dataValidations>
  <pageMargins left="0.7" right="0.7" top="0.75" bottom="0.75" header="0.3" footer="0.3"/>
  <pageSetup paperSize="9" orientation="portrait" horizontalDpi="0" verticalDpi="0"/>
  <headerFooter>
    <oddFooter>&amp;CReparto de horas docentes · &amp;A · &amp;P / 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B78B7-5A8A-564F-9364-B662E2F41E08}">
  <sheetPr>
    <pageSetUpPr fitToPage="1"/>
  </sheetPr>
  <dimension ref="A1:E54"/>
  <sheetViews>
    <sheetView workbookViewId="0"/>
  </sheetViews>
  <sheetFormatPr baseColWidth="10" defaultRowHeight="15" x14ac:dyDescent="0.2"/>
  <cols>
    <col min="1" max="1" width="44.83203125" customWidth="1"/>
    <col min="2" max="5" width="15.83203125" customWidth="1"/>
  </cols>
  <sheetData>
    <row r="1" spans="1:5" ht="20" x14ac:dyDescent="0.25">
      <c r="A1" s="158" t="s">
        <v>182</v>
      </c>
    </row>
    <row r="2" spans="1:5" x14ac:dyDescent="0.2">
      <c r="A2" t="str">
        <f>"Docente: "&amp;IF(Negociación!B5="","—",Negociación!B5)&amp;"   ·   Propuesta n.º "&amp;Negociación!B6&amp;"   ·   "&amp;IF(Negociación!B7="","sin fecha",TEXT(Negociación!B7,"dd/mm/yyyy"))</f>
        <v>Docente: —   ·   Propuesta n.º 1   ·   sin fecha</v>
      </c>
    </row>
    <row r="3" spans="1:5" x14ac:dyDescent="0.2">
      <c r="A3" s="162" t="str">
        <f>"Propone: "&amp;IF(Negociación!B8="","—",Negociación!B8)&amp;"   ·   "&amp;Negociación!B80</f>
        <v>Propone: —   ·   Calculado con el criterio «Proporcional: al que más le falte»</v>
      </c>
    </row>
    <row r="5" spans="1:5" x14ac:dyDescent="0.2">
      <c r="A5" s="159" t="s">
        <v>86</v>
      </c>
      <c r="B5" s="183" t="str">
        <f>Negociación!B13</f>
        <v>Centro 1</v>
      </c>
      <c r="C5" s="183" t="str">
        <f>Negociación!C13</f>
        <v>Centro 2</v>
      </c>
      <c r="D5" s="183" t="str">
        <f>Negociación!D13</f>
        <v/>
      </c>
      <c r="E5" s="183" t="s">
        <v>147</v>
      </c>
    </row>
    <row r="6" spans="1:5" x14ac:dyDescent="0.2">
      <c r="A6" s="157" t="str">
        <f>Negociación!A14</f>
        <v>A) Lectivas (con las de más)</v>
      </c>
      <c r="B6" s="170">
        <f>IF(Negociación!B14="","",Negociación!B14/24)</f>
        <v>0.58333333333333337</v>
      </c>
      <c r="C6" s="170">
        <f>IF(Negociación!C14="","",Negociación!C14/24)</f>
        <v>0.16666666666666666</v>
      </c>
      <c r="D6" s="170" t="str">
        <f>IF(Negociación!D14="","",Negociación!D14/24)</f>
        <v/>
      </c>
      <c r="E6" s="170">
        <f>IF(Negociación!E14="","",Negociación!E14/24)</f>
        <v>0.75</v>
      </c>
    </row>
    <row r="7" spans="1:5" x14ac:dyDescent="0.2">
      <c r="A7" t="s">
        <v>149</v>
      </c>
      <c r="B7" s="184" t="str">
        <f>Negociación!B15</f>
        <v>Sí</v>
      </c>
      <c r="C7" s="184" t="str">
        <f>Negociación!C15</f>
        <v>No</v>
      </c>
      <c r="D7" s="184" t="str">
        <f>Negociación!D15</f>
        <v/>
      </c>
      <c r="E7" s="184"/>
    </row>
    <row r="8" spans="1:5" x14ac:dyDescent="0.2">
      <c r="A8" t="s">
        <v>214</v>
      </c>
      <c r="B8" s="167">
        <f>IF(Negociación!B$13="","",Negociación!B17)</f>
        <v>0</v>
      </c>
      <c r="C8" s="167">
        <f>IF(Negociación!C$13="","",Negociación!C17)</f>
        <v>0</v>
      </c>
      <c r="D8" s="167" t="str">
        <f>IF(Negociación!D$13="","",Negociación!D17)</f>
        <v/>
      </c>
      <c r="E8" s="167">
        <f>Negociación!E17</f>
        <v>0</v>
      </c>
    </row>
    <row r="9" spans="1:5" x14ac:dyDescent="0.2">
      <c r="A9" t="s">
        <v>215</v>
      </c>
      <c r="B9" s="184" t="str">
        <f>IF(Negociación!B$13="","",IF(Itinerancia!B69+Itinerancia!B72=0,"·","−"&amp;(Itinerancia!B69+Itinerancia!B72)&amp;":00"))</f>
        <v>·</v>
      </c>
      <c r="C9" s="184" t="str">
        <f>IF(Negociación!C$13="","",IF(Itinerancia!C69+Itinerancia!C72=0,"·","−"&amp;(Itinerancia!C69+Itinerancia!C72)&amp;":00"))</f>
        <v>·</v>
      </c>
      <c r="D9" s="184" t="str">
        <f>IF(Negociación!D$13="","",IF(Itinerancia!D69+Itinerancia!D72=0,"·","−"&amp;(Itinerancia!D69+Itinerancia!D72)&amp;":00"))</f>
        <v/>
      </c>
      <c r="E9" s="184" t="str">
        <f>IF(SUM(Itinerancia!B69:D69,Itinerancia!B72:D72)=0,"·","−"&amp;SUM(Itinerancia!B69:D69,Itinerancia!B72:D72)&amp;":00")</f>
        <v>·</v>
      </c>
    </row>
    <row r="10" spans="1:5" x14ac:dyDescent="0.2">
      <c r="A10" s="157" t="str">
        <f>Negociación!A46</f>
        <v>B) Complementarias semanales (h)</v>
      </c>
      <c r="B10" s="170">
        <f>IF(Negociación!B46="","",Negociación!B46/24)</f>
        <v>0.20833333333333334</v>
      </c>
      <c r="C10" s="170">
        <f>IF(Negociación!C46="","",Negociación!C46/24)</f>
        <v>8.3333333333333329E-2</v>
      </c>
      <c r="D10" s="170" t="str">
        <f>IF(Negociación!D46="","",Negociación!D46/24)</f>
        <v/>
      </c>
      <c r="E10" s="170">
        <f>IF(Negociación!E46="","",Negociación!E46/24)</f>
        <v>0.29166666666666669</v>
      </c>
    </row>
    <row r="11" spans="1:5" x14ac:dyDescent="0.2">
      <c r="A11" t="str">
        <f>Negociación!A47</f>
        <v xml:space="preserve">      · Guardia</v>
      </c>
      <c r="B11" s="184">
        <f>IF(Negociación!B47="","",Negociación!B47/24)</f>
        <v>4.1666666666666664E-2</v>
      </c>
      <c r="C11" s="184">
        <f>IF(Negociación!C47="","",Negociación!C47/24)</f>
        <v>0</v>
      </c>
      <c r="D11" s="184" t="str">
        <f>IF(Negociación!D47="","",Negociación!D47/24)</f>
        <v/>
      </c>
      <c r="E11" s="184">
        <f>IF(Negociación!E47="","",Negociación!E47/24)</f>
        <v>4.1666666666666664E-2</v>
      </c>
    </row>
    <row r="12" spans="1:5" x14ac:dyDescent="0.2">
      <c r="A12" t="str">
        <f>Negociación!A48</f>
        <v xml:space="preserve">      · Atención a familias / tutoría</v>
      </c>
      <c r="B12" s="184">
        <f>IF(Negociación!B48="","",Negociación!B48/24)</f>
        <v>4.1666666666666664E-2</v>
      </c>
      <c r="C12" s="184">
        <f>IF(Negociación!C48="","",Negociación!C48/24)</f>
        <v>4.1666666666666664E-2</v>
      </c>
      <c r="D12" s="184" t="str">
        <f>IF(Negociación!D48="","",Negociación!D48/24)</f>
        <v/>
      </c>
      <c r="E12" s="184">
        <f>IF(Negociación!E48="","",Negociación!E48/24)</f>
        <v>8.3333333333333329E-2</v>
      </c>
    </row>
    <row r="13" spans="1:5" x14ac:dyDescent="0.2">
      <c r="A13" t="str">
        <f>Negociación!A49</f>
        <v xml:space="preserve">      · Reunión de departamento</v>
      </c>
      <c r="B13" s="184">
        <f>IF(Negociación!B49="","",Negociación!B49/24)</f>
        <v>4.1666666666666664E-2</v>
      </c>
      <c r="C13" s="184">
        <f>IF(Negociación!C49="","",Negociación!C49/24)</f>
        <v>4.1666666666666664E-2</v>
      </c>
      <c r="D13" s="184" t="str">
        <f>IF(Negociación!D49="","",Negociación!D49/24)</f>
        <v/>
      </c>
      <c r="E13" s="184">
        <f>IF(Negociación!E49="","",Negociación!E49/24)</f>
        <v>8.3333333333333329E-2</v>
      </c>
    </row>
    <row r="14" spans="1:5" x14ac:dyDescent="0.2">
      <c r="A14" t="str">
        <f>Negociación!A50</f>
        <v xml:space="preserve">      · Organización de actividades</v>
      </c>
      <c r="B14" s="184">
        <f>IF(Negociación!B50="","",Negociación!B50/24)</f>
        <v>8.3333333333333329E-2</v>
      </c>
      <c r="C14" s="184">
        <f>IF(Negociación!C50="","",Negociación!C50/24)</f>
        <v>0</v>
      </c>
      <c r="D14" s="184" t="str">
        <f>IF(Negociación!D50="","",Negociación!D50/24)</f>
        <v/>
      </c>
      <c r="E14" s="184">
        <f>IF(Negociación!E50="","",Negociación!E50/24)</f>
        <v>8.3333333333333329E-2</v>
      </c>
    </row>
    <row r="15" spans="1:5" x14ac:dyDescent="0.2">
      <c r="A15" t="str">
        <f>Negociación!A51</f>
        <v xml:space="preserve">      · Otra 1</v>
      </c>
      <c r="B15" s="184">
        <f>IF(Negociación!B51="","",Negociación!B51/24)</f>
        <v>0</v>
      </c>
      <c r="C15" s="184">
        <f>IF(Negociación!C51="","",Negociación!C51/24)</f>
        <v>0</v>
      </c>
      <c r="D15" s="184" t="str">
        <f>IF(Negociación!D51="","",Negociación!D51/24)</f>
        <v/>
      </c>
      <c r="E15" s="184">
        <f>IF(Negociación!E51="","",Negociación!E51/24)</f>
        <v>0</v>
      </c>
    </row>
    <row r="16" spans="1:5" x14ac:dyDescent="0.2">
      <c r="A16" t="str">
        <f>Negociación!A52</f>
        <v xml:space="preserve">      · Otra 2</v>
      </c>
      <c r="B16" s="184">
        <f>IF(Negociación!B52="","",Negociación!B52/24)</f>
        <v>0</v>
      </c>
      <c r="C16" s="184">
        <f>IF(Negociación!C52="","",Negociación!C52/24)</f>
        <v>0</v>
      </c>
      <c r="D16" s="184" t="str">
        <f>IF(Negociación!D52="","",Negociación!D52/24)</f>
        <v/>
      </c>
      <c r="E16" s="184">
        <f>IF(Negociación!E52="","",Negociación!E52/24)</f>
        <v>0</v>
      </c>
    </row>
    <row r="17" spans="1:5" x14ac:dyDescent="0.2">
      <c r="A17" t="str">
        <f>Negociación!A53</f>
        <v xml:space="preserve">      · Otra 3</v>
      </c>
      <c r="B17" s="184">
        <f>IF(Negociación!B53="","",Negociación!B53/24)</f>
        <v>0</v>
      </c>
      <c r="C17" s="184">
        <f>IF(Negociación!C53="","",Negociación!C53/24)</f>
        <v>0</v>
      </c>
      <c r="D17" s="184" t="str">
        <f>IF(Negociación!D53="","",Negociación!D53/24)</f>
        <v/>
      </c>
      <c r="E17" s="184">
        <f>IF(Negociación!E53="","",Negociación!E53/24)</f>
        <v>0</v>
      </c>
    </row>
    <row r="18" spans="1:5" x14ac:dyDescent="0.2">
      <c r="A18" s="157" t="str">
        <f>Negociación!A54</f>
        <v>C) Cómputo mensual</v>
      </c>
      <c r="B18" s="170">
        <f>IF(Negociación!B54="","",Negociación!B54)</f>
        <v>0.16180555555555556</v>
      </c>
      <c r="C18" s="170">
        <f>IF(Negociación!C54="","",Negociación!C54)</f>
        <v>4.6527777777777779E-2</v>
      </c>
      <c r="D18" s="170" t="str">
        <f>IF(Negociación!D54="","",Negociación!D54)</f>
        <v/>
      </c>
      <c r="E18" s="170">
        <f>IF(Negociación!E54="","",Negociación!E54)</f>
        <v>0.20833333333333334</v>
      </c>
    </row>
    <row r="19" spans="1:5" x14ac:dyDescent="0.2">
      <c r="A19" s="157" t="str">
        <f>Negociación!A55</f>
        <v>D) Preparación</v>
      </c>
      <c r="B19" s="170">
        <f>IF(Negociación!B55="","",Negociación!B55)</f>
        <v>0.24305555555555555</v>
      </c>
      <c r="C19" s="170">
        <f>IF(Negociación!C55="","",Negociación!C55)</f>
        <v>6.9444444444444448E-2</v>
      </c>
      <c r="D19" s="170" t="str">
        <f>IF(Negociación!D55="","",Negociación!D55)</f>
        <v/>
      </c>
      <c r="E19" s="170">
        <f>IF(Negociación!E55="","",Negociación!E55)</f>
        <v>0.3125</v>
      </c>
    </row>
    <row r="20" spans="1:5" x14ac:dyDescent="0.2">
      <c r="A20" s="161" t="s">
        <v>9</v>
      </c>
      <c r="B20" s="174">
        <f>Negociación!B56</f>
        <v>1.1965277777777776</v>
      </c>
      <c r="C20" s="174">
        <f>Negociación!C56</f>
        <v>0.36597222222222225</v>
      </c>
      <c r="D20" s="174" t="str">
        <f>Negociación!D56</f>
        <v/>
      </c>
      <c r="E20" s="174">
        <f>Negociación!E56</f>
        <v>1.5625</v>
      </c>
    </row>
    <row r="21" spans="1:5" x14ac:dyDescent="0.2">
      <c r="A21" s="162" t="s">
        <v>156</v>
      </c>
      <c r="B21" s="175">
        <f>Negociación!B57</f>
        <v>1.2152777777777779</v>
      </c>
      <c r="C21" s="175">
        <f>Negociación!C57</f>
        <v>0.34722222222222221</v>
      </c>
      <c r="D21" s="175" t="str">
        <f>Negociación!D57</f>
        <v/>
      </c>
      <c r="E21" s="175">
        <f>Negociación!E57</f>
        <v>1.5625</v>
      </c>
    </row>
    <row r="22" spans="1:5" x14ac:dyDescent="0.2">
      <c r="A22" s="162" t="s">
        <v>157</v>
      </c>
      <c r="B22" s="185">
        <f>Negociación!B58</f>
        <v>-27</v>
      </c>
      <c r="C22" s="185">
        <f>Negociación!C58</f>
        <v>27</v>
      </c>
      <c r="D22" s="185" t="str">
        <f>Negociación!D58</f>
        <v/>
      </c>
      <c r="E22" s="185">
        <f>Negociación!E58</f>
        <v>0</v>
      </c>
    </row>
    <row r="24" spans="1:5" x14ac:dyDescent="0.2">
      <c r="A24" s="159" t="s">
        <v>164</v>
      </c>
      <c r="B24" s="160"/>
      <c r="C24" s="160"/>
      <c r="D24" s="160"/>
      <c r="E24" s="160"/>
    </row>
    <row r="25" spans="1:5" x14ac:dyDescent="0.2">
      <c r="A25" t="s">
        <v>159</v>
      </c>
      <c r="B25" t="str">
        <f>IF(Negociación!B61="","—",Negociación!B61)</f>
        <v>—</v>
      </c>
    </row>
    <row r="26" spans="1:5" x14ac:dyDescent="0.2">
      <c r="A26" t="s">
        <v>160</v>
      </c>
      <c r="B26" t="str">
        <f>IF(Negociación!B62="","—",Negociación!B62)</f>
        <v>—</v>
      </c>
    </row>
    <row r="27" spans="1:5" x14ac:dyDescent="0.2">
      <c r="A27" t="s">
        <v>161</v>
      </c>
      <c r="B27" t="str">
        <f>IF(Negociación!B63="","—",Negociación!B63)</f>
        <v>—</v>
      </c>
    </row>
    <row r="28" spans="1:5" x14ac:dyDescent="0.2">
      <c r="A28" t="s">
        <v>162</v>
      </c>
      <c r="B28" t="str">
        <f>IF(Negociación!B64="","—",Negociación!B64)</f>
        <v>—</v>
      </c>
    </row>
    <row r="29" spans="1:5" x14ac:dyDescent="0.2">
      <c r="A29" t="s">
        <v>163</v>
      </c>
      <c r="B29" t="str">
        <f>IF(Negociación!B65="","—",Negociación!B65)</f>
        <v>—</v>
      </c>
    </row>
    <row r="31" spans="1:5" x14ac:dyDescent="0.2">
      <c r="A31" s="159" t="s">
        <v>183</v>
      </c>
      <c r="B31" s="160"/>
      <c r="C31" s="160"/>
      <c r="D31" s="160"/>
      <c r="E31" s="160"/>
    </row>
    <row r="32" spans="1:5" x14ac:dyDescent="0.2">
      <c r="A32" s="157" t="s">
        <v>57</v>
      </c>
      <c r="B32" s="157" t="str">
        <f>Negociación!B82</f>
        <v>Correcta, con avisos</v>
      </c>
    </row>
    <row r="33" spans="1:5" x14ac:dyDescent="0.2">
      <c r="A33" t="str">
        <f>Negociación!A72</f>
        <v>Horas B: suman las del docente</v>
      </c>
      <c r="B33" t="str">
        <f>Negociación!B72</f>
        <v>OK</v>
      </c>
    </row>
    <row r="34" spans="1:5" x14ac:dyDescent="0.2">
      <c r="A34" t="str">
        <f>Negociación!A73</f>
        <v>C: suma el cómputo mensual del docente</v>
      </c>
      <c r="B34" t="str">
        <f>Negociación!B73</f>
        <v>OK</v>
      </c>
    </row>
    <row r="35" spans="1:5" x14ac:dyDescent="0.2">
      <c r="A35" t="str">
        <f>Negociación!A74</f>
        <v>D: suma la preparación del docente</v>
      </c>
      <c r="B35" t="str">
        <f>Negociación!B74</f>
        <v>OK</v>
      </c>
    </row>
    <row r="36" spans="1:5" x14ac:dyDescent="0.2">
      <c r="A36" s="157" t="str">
        <f>Negociación!A75</f>
        <v>Por centro</v>
      </c>
      <c r="B36" s="165" t="str">
        <f>Negociación!B75</f>
        <v>Centro 1</v>
      </c>
      <c r="C36" s="165" t="str">
        <f>Negociación!C75</f>
        <v>Centro 2</v>
      </c>
      <c r="D36" s="165" t="str">
        <f>Negociación!D75</f>
        <v/>
      </c>
    </row>
    <row r="37" spans="1:5" x14ac:dyDescent="0.2">
      <c r="A37" t="str">
        <f>Negociación!A76</f>
        <v>Desglose de B (las actividades suman sus horas B)</v>
      </c>
      <c r="B37" s="166" t="str">
        <f>Negociación!B76</f>
        <v>OK</v>
      </c>
      <c r="C37" s="166" t="str">
        <f>Negociación!C76</f>
        <v>OK</v>
      </c>
      <c r="D37" s="166" t="str">
        <f>Negociación!D76</f>
        <v/>
      </c>
    </row>
    <row r="38" spans="1:5" x14ac:dyDescent="0.2">
      <c r="A38" t="str">
        <f>Negociación!A77</f>
        <v>Diferencia con la parte exacta (aviso si pasa de 30 min)</v>
      </c>
      <c r="B38" s="166" t="str">
        <f>Negociación!B77</f>
        <v>OK</v>
      </c>
      <c r="C38" s="166" t="str">
        <f>Negociación!C77</f>
        <v>OK</v>
      </c>
      <c r="D38" s="166" t="str">
        <f>Negociación!D77</f>
        <v/>
      </c>
    </row>
    <row r="39" spans="1:5" x14ac:dyDescent="0.2">
      <c r="A39" t="str">
        <f>Negociación!A78</f>
        <v>Días (de 2 a 5 lectivas por día)</v>
      </c>
      <c r="B39" s="166" t="str">
        <f>Negociación!B78</f>
        <v>Sin días</v>
      </c>
      <c r="C39" s="166" t="str">
        <f>Negociación!C78</f>
        <v>Sin días</v>
      </c>
      <c r="D39" s="166" t="str">
        <f>Negociación!D78</f>
        <v/>
      </c>
    </row>
    <row r="40" spans="1:5" x14ac:dyDescent="0.2">
      <c r="A40" t="str">
        <f>Negociación!A79</f>
        <v>Jornada completa: los 5 días ocupados</v>
      </c>
      <c r="B40" s="166" t="str">
        <f>Negociación!B79</f>
        <v>Aviso: quedan días sin centro</v>
      </c>
      <c r="C40" s="166"/>
      <c r="D40" s="166"/>
    </row>
    <row r="41" spans="1:5" x14ac:dyDescent="0.2">
      <c r="A41" t="str">
        <f>Negociación!A81</f>
        <v>Lectivas de más</v>
      </c>
      <c r="B41" t="str">
        <f>Negociación!B81</f>
        <v>No hay</v>
      </c>
    </row>
    <row r="42" spans="1:5" x14ac:dyDescent="0.2">
      <c r="A42" s="157" t="s">
        <v>145</v>
      </c>
    </row>
    <row r="43" spans="1:5" ht="45" customHeight="1" x14ac:dyDescent="0.2">
      <c r="A43" s="199" t="str">
        <f>IF(Negociación!B9="","—",Negociación!B9)</f>
        <v>—</v>
      </c>
      <c r="B43" s="199"/>
      <c r="C43" s="199"/>
      <c r="D43" s="199"/>
      <c r="E43" s="199"/>
    </row>
    <row r="45" spans="1:5" x14ac:dyDescent="0.2">
      <c r="A45" s="159" t="s">
        <v>184</v>
      </c>
      <c r="B45" s="160"/>
      <c r="C45" s="160"/>
      <c r="D45" s="160"/>
      <c r="E45" s="160"/>
    </row>
    <row r="46" spans="1:5" x14ac:dyDescent="0.2">
      <c r="A46" s="157"/>
      <c r="B46" s="165" t="str">
        <f>Negociación!B13</f>
        <v>Centro 1</v>
      </c>
      <c r="C46" s="165" t="str">
        <f>Negociación!C13</f>
        <v>Centro 2</v>
      </c>
      <c r="D46" s="165" t="str">
        <f>Negociación!D13</f>
        <v/>
      </c>
    </row>
    <row r="47" spans="1:5" x14ac:dyDescent="0.2">
      <c r="A47" t="str">
        <f>Negociación!A86</f>
        <v>Conforme (Sí / No)</v>
      </c>
      <c r="B47" s="166" t="str">
        <f>IF(B$46="","",IF(Negociación!B86="","",Negociación!B86))</f>
        <v/>
      </c>
      <c r="C47" s="166" t="str">
        <f>IF(C$46="","",IF(Negociación!C86="","",Negociación!C86))</f>
        <v/>
      </c>
      <c r="D47" s="166" t="str">
        <f>IF(D$46="","",IF(Negociación!D86="","",Negociación!D86))</f>
        <v/>
      </c>
    </row>
    <row r="48" spans="1:5" x14ac:dyDescent="0.2">
      <c r="A48" t="str">
        <f>Negociación!A87</f>
        <v>Fecha</v>
      </c>
      <c r="B48" s="186" t="str">
        <f>IF(B$46="","",IF(Negociación!B87="","",Negociación!B87))</f>
        <v/>
      </c>
      <c r="C48" s="186" t="str">
        <f>IF(C$46="","",IF(Negociación!C87="","",Negociación!C87))</f>
        <v/>
      </c>
      <c r="D48" s="186" t="str">
        <f>IF(D$46="","",IF(Negociación!D87="","",Negociación!D87))</f>
        <v/>
      </c>
    </row>
    <row r="49" spans="1:5" x14ac:dyDescent="0.2">
      <c r="A49" t="str">
        <f>Negociación!A88</f>
        <v>Cargo (p. ej. jefatura de estudios)</v>
      </c>
      <c r="B49" s="166" t="str">
        <f>IF(B$46="","",IF(Negociación!B88="","",Negociación!B88))</f>
        <v/>
      </c>
      <c r="C49" s="166" t="str">
        <f>IF(C$46="","",IF(Negociación!C88="","",Negociación!C88))</f>
        <v/>
      </c>
      <c r="D49" s="166" t="str">
        <f>IF(D$46="","",IF(Negociación!D88="","",Negociación!D88))</f>
        <v/>
      </c>
    </row>
    <row r="50" spans="1:5" x14ac:dyDescent="0.2">
      <c r="A50" t="str">
        <f>Negociación!A89</f>
        <v>Observaciones</v>
      </c>
      <c r="B50" s="166" t="str">
        <f>IF(B$46="","",IF(Negociación!B89="","",Negociación!B89))</f>
        <v/>
      </c>
      <c r="C50" s="166" t="str">
        <f>IF(C$46="","",IF(Negociación!C89="","",Negociación!C89))</f>
        <v/>
      </c>
      <c r="D50" s="166" t="str">
        <f>IF(D$46="","",IF(Negociación!D89="","",Negociación!D89))</f>
        <v/>
      </c>
    </row>
    <row r="51" spans="1:5" ht="60" customHeight="1" x14ac:dyDescent="0.2">
      <c r="A51" t="s">
        <v>185</v>
      </c>
      <c r="B51" s="182"/>
      <c r="C51" s="182"/>
      <c r="D51" s="182"/>
    </row>
    <row r="53" spans="1:5" ht="45" customHeight="1" x14ac:dyDescent="0.2">
      <c r="A53" s="198" t="s">
        <v>186</v>
      </c>
      <c r="B53" s="199"/>
      <c r="C53" s="199"/>
      <c r="D53" s="199"/>
      <c r="E53" s="199"/>
    </row>
    <row r="54" spans="1:5" x14ac:dyDescent="0.2">
      <c r="A54" s="187" t="str">
        <f>"Generado con el Excel de Itinerancias, "&amp;LOWER(LEFT(Portada!B30,1))&amp;MID(Portada!B30,2,99)&amp;" · jlmirallesb.github.io/itinerancias · CC BY-NC-SA 4.0"</f>
        <v>Generado con el Excel de Itinerancias, versión 1.0.0 · 2-11-2026 · jlmirallesb.github.io/itinerancias · CC BY-NC-SA 4.0</v>
      </c>
    </row>
  </sheetData>
  <mergeCells count="2">
    <mergeCell ref="A43:E43"/>
    <mergeCell ref="A53:E53"/>
  </mergeCells>
  <printOptions horizontalCentered="1"/>
  <pageMargins left="0.7" right="0.7" top="0.75" bottom="0.75" header="0.3" footer="0.3"/>
  <pageSetup paperSize="9" scale="76" orientation="portrait" horizontalDpi="0" verticalDpi="0"/>
  <headerFooter>
    <oddFooter>&amp;CReparto de horas docentes · &amp;A · &amp;P /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7</vt:i4>
      </vt:variant>
    </vt:vector>
  </HeadingPairs>
  <TitlesOfParts>
    <vt:vector size="14" baseType="lpstr">
      <vt:lpstr>Portada</vt:lpstr>
      <vt:lpstr>Reparto proporcional</vt:lpstr>
      <vt:lpstr>Complementarias por bloques</vt:lpstr>
      <vt:lpstr>Comparativa</vt:lpstr>
      <vt:lpstr>Itinerancia</vt:lpstr>
      <vt:lpstr>Negociación</vt:lpstr>
      <vt:lpstr>Propuesta para imprimir</vt:lpstr>
      <vt:lpstr>Comparativa!Área_de_impresión</vt:lpstr>
      <vt:lpstr>'Complementarias por bloques'!Área_de_impresión</vt:lpstr>
      <vt:lpstr>Portada!Área_de_impresión</vt:lpstr>
      <vt:lpstr>'Propuesta para imprimir'!Área_de_impresión</vt:lpstr>
      <vt:lpstr>'Reparto proporcional'!Área_de_impresión</vt:lpstr>
      <vt:lpstr>'Complementarias por bloques'!Títulos_a_imprimir</vt:lpstr>
      <vt:lpstr>'Reparto proporcional'!Títulos_a_imprimir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José Luis Miralles Bono</cp:lastModifiedBy>
  <cp:lastPrinted>2026-11-02T18:04:21Z</cp:lastPrinted>
  <dcterms:created xsi:type="dcterms:W3CDTF">2026-11-02T10:01:35Z</dcterms:created>
  <dcterms:modified xsi:type="dcterms:W3CDTF">2026-11-02T18:08:18Z</dcterms:modified>
</cp:coreProperties>
</file>